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1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3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6.xml" ContentType="application/vnd.openxmlformats-officedocument.drawingml.chartshapes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7.xml" ContentType="application/vnd.openxmlformats-officedocument.drawingml.chart+xml"/>
  <Override PartName="/xl/drawings/drawing29.xml" ContentType="application/vnd.openxmlformats-officedocument.drawingml.chartshapes+xml"/>
  <Override PartName="/xl/charts/chart38.xml" ContentType="application/vnd.openxmlformats-officedocument.drawingml.chart+xml"/>
  <Override PartName="/xl/drawings/drawing30.xml" ContentType="application/vnd.openxmlformats-officedocument.drawingml.chartshapes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33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36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9.xml" ContentType="application/vnd.openxmlformats-officedocument.drawingml.chart+xml"/>
  <Override PartName="/xl/drawings/drawing39.xml" ContentType="application/vnd.openxmlformats-officedocument.drawingml.chartshapes+xml"/>
  <Override PartName="/xl/charts/chart50.xml" ContentType="application/vnd.openxmlformats-officedocument.drawingml.chart+xml"/>
  <Override PartName="/xl/drawings/drawing40.xml" ContentType="application/vnd.openxmlformats-officedocument.drawingml.chartshape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wanchoo/Documents/files/esdis/Annual_reports/FY21AnnualReport/"/>
    </mc:Choice>
  </mc:AlternateContent>
  <xr:revisionPtr revIDLastSave="0" documentId="8_{09B980BC-718C-E441-80E1-4AAF7368642E}" xr6:coauthVersionLast="47" xr6:coauthVersionMax="47" xr10:uidLastSave="{00000000-0000-0000-0000-000000000000}"/>
  <bookViews>
    <workbookView xWindow="0" yWindow="500" windowWidth="33600" windowHeight="19400" tabRatio="870" xr2:uid="{00000000-000D-0000-FFFF-FFFF00000000}"/>
  </bookViews>
  <sheets>
    <sheet name="Cover" sheetId="55" r:id="rId1"/>
    <sheet name="Introduction" sheetId="56" r:id="rId2"/>
    <sheet name="ASDC" sheetId="43" r:id="rId3"/>
    <sheet name="ASF" sheetId="44" r:id="rId4"/>
    <sheet name="CDDIS" sheetId="45" r:id="rId5"/>
    <sheet name="GESDISC" sheetId="46" r:id="rId6"/>
    <sheet name="GHRC" sheetId="47" r:id="rId7"/>
    <sheet name="LPDAAC" sheetId="48" r:id="rId8"/>
    <sheet name="LAADS" sheetId="49" r:id="rId9"/>
    <sheet name="NSIDC" sheetId="50" r:id="rId10"/>
    <sheet name="ORNL" sheetId="52" r:id="rId11"/>
    <sheet name="OBDAAC" sheetId="51" r:id="rId12"/>
    <sheet name="PODAAC" sheetId="53" r:id="rId13"/>
    <sheet name="SEDAC" sheetId="54" r:id="rId14"/>
    <sheet name="LANCE" sheetId="59" r:id="rId15"/>
    <sheet name="data" sheetId="41" r:id="rId16"/>
    <sheet name="L_Summary_data" sheetId="58" r:id="rId17"/>
    <sheet name="L_data" sheetId="57" r:id="rId18"/>
    <sheet name="Summary_data" sheetId="39" r:id="rId19"/>
  </sheets>
  <definedNames>
    <definedName name="_xlnm.Print_Area" localSheetId="2">ASDC!$A$1:$C$16</definedName>
    <definedName name="_xlnm.Print_Area" localSheetId="3">ASF!$A$1:$C$16</definedName>
    <definedName name="_xlnm.Print_Area" localSheetId="4">CDDIS!$A$1:$C$16</definedName>
    <definedName name="_xlnm.Print_Area" localSheetId="5">GESDISC!$A$1:$C$16</definedName>
    <definedName name="_xlnm.Print_Area" localSheetId="6">GHRC!$A$1:$C$16</definedName>
    <definedName name="_xlnm.Print_Area" localSheetId="16">L_Summary_data!#REF!</definedName>
    <definedName name="_xlnm.Print_Area" localSheetId="8">LAADS!$A$1:$C$16</definedName>
    <definedName name="_xlnm.Print_Area" localSheetId="14">LANCE!$A$1:$C$15</definedName>
    <definedName name="_xlnm.Print_Area" localSheetId="7">LPDAAC!$A$1:$C$16</definedName>
    <definedName name="_xlnm.Print_Area" localSheetId="9">NSIDC!$A$1:$K$34</definedName>
    <definedName name="_xlnm.Print_Area" localSheetId="11">OBDAAC!$A$1:$C$14</definedName>
    <definedName name="_xlnm.Print_Area" localSheetId="10">ORNL!$A$1:$C$16</definedName>
    <definedName name="_xlnm.Print_Area" localSheetId="12">PODAAC!$A$1:$C$16</definedName>
    <definedName name="_xlnm.Print_Area" localSheetId="13">SEDAC!$A$1:$C$16</definedName>
    <definedName name="_xlnm.Print_Area" localSheetId="18">Summary_data!#REF!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51" l="1"/>
  <c r="D11" i="53"/>
  <c r="D9" i="53"/>
  <c r="D11" i="52"/>
  <c r="D9" i="52"/>
  <c r="D11" i="50"/>
  <c r="D9" i="50"/>
  <c r="D11" i="48"/>
  <c r="D10" i="48"/>
  <c r="D9" i="48"/>
  <c r="D11" i="47"/>
  <c r="D9" i="47"/>
  <c r="D11" i="46"/>
  <c r="D9" i="46"/>
  <c r="D11" i="44"/>
  <c r="D9" i="44"/>
  <c r="V17" i="39"/>
  <c r="U17" i="39"/>
  <c r="C12" i="44"/>
  <c r="C11" i="44"/>
  <c r="C10" i="44"/>
  <c r="C9" i="44"/>
  <c r="C8" i="44"/>
  <c r="C7" i="44"/>
  <c r="C6" i="44"/>
  <c r="C5" i="44"/>
  <c r="C4" i="44"/>
  <c r="D8" i="43"/>
  <c r="I4" i="39"/>
  <c r="N4" i="39"/>
  <c r="C12" i="54"/>
  <c r="C11" i="54"/>
  <c r="C10" i="54"/>
  <c r="C9" i="54"/>
  <c r="C8" i="54"/>
  <c r="C7" i="54"/>
  <c r="C6" i="54"/>
  <c r="C5" i="54"/>
  <c r="C4" i="54"/>
  <c r="C12" i="53"/>
  <c r="C11" i="53"/>
  <c r="C10" i="53"/>
  <c r="C9" i="53"/>
  <c r="C8" i="53"/>
  <c r="C7" i="53"/>
  <c r="C6" i="53"/>
  <c r="C5" i="53"/>
  <c r="C4" i="53"/>
  <c r="C12" i="52"/>
  <c r="C11" i="52"/>
  <c r="C10" i="52"/>
  <c r="C9" i="52"/>
  <c r="C8" i="52"/>
  <c r="C7" i="52"/>
  <c r="C6" i="52"/>
  <c r="C5" i="52"/>
  <c r="C4" i="52"/>
  <c r="C12" i="51"/>
  <c r="C11" i="51"/>
  <c r="C10" i="51"/>
  <c r="C9" i="51"/>
  <c r="C8" i="51"/>
  <c r="C7" i="51"/>
  <c r="C6" i="51"/>
  <c r="C5" i="51"/>
  <c r="C4" i="51"/>
  <c r="C12" i="50"/>
  <c r="C11" i="50"/>
  <c r="C10" i="50"/>
  <c r="C9" i="50"/>
  <c r="C8" i="50"/>
  <c r="C7" i="50"/>
  <c r="C6" i="50"/>
  <c r="C5" i="50"/>
  <c r="C4" i="50"/>
  <c r="C12" i="49"/>
  <c r="C11" i="49"/>
  <c r="C10" i="49"/>
  <c r="C9" i="49"/>
  <c r="C8" i="49"/>
  <c r="C7" i="49"/>
  <c r="C6" i="49"/>
  <c r="C5" i="49"/>
  <c r="C4" i="49"/>
  <c r="C12" i="48"/>
  <c r="C11" i="48"/>
  <c r="C10" i="48"/>
  <c r="C9" i="48"/>
  <c r="C8" i="48"/>
  <c r="C7" i="48"/>
  <c r="C6" i="48"/>
  <c r="C5" i="48"/>
  <c r="C4" i="48"/>
  <c r="C12" i="47"/>
  <c r="C11" i="47"/>
  <c r="C10" i="47"/>
  <c r="C9" i="47"/>
  <c r="C8" i="47"/>
  <c r="C7" i="47"/>
  <c r="C6" i="47"/>
  <c r="C5" i="47"/>
  <c r="C4" i="47"/>
  <c r="C12" i="46"/>
  <c r="C11" i="46"/>
  <c r="C10" i="46"/>
  <c r="C9" i="46"/>
  <c r="C8" i="46"/>
  <c r="C7" i="46"/>
  <c r="C6" i="46"/>
  <c r="C5" i="46"/>
  <c r="C4" i="46"/>
  <c r="C12" i="45"/>
  <c r="C11" i="45"/>
  <c r="C10" i="45"/>
  <c r="C9" i="45"/>
  <c r="C8" i="45"/>
  <c r="C7" i="45"/>
  <c r="C6" i="45"/>
  <c r="C5" i="45"/>
  <c r="C4" i="45"/>
  <c r="C12" i="43"/>
  <c r="C11" i="43"/>
  <c r="C10" i="43"/>
  <c r="C9" i="43"/>
  <c r="C8" i="43"/>
  <c r="J226" i="41"/>
  <c r="N169" i="41" l="1"/>
  <c r="O169" i="41" s="1"/>
  <c r="B170" i="57" l="1"/>
  <c r="B169" i="57"/>
  <c r="B167" i="57"/>
  <c r="P52" i="39" l="1"/>
  <c r="K35" i="39"/>
  <c r="J35" i="39"/>
  <c r="I35" i="39"/>
  <c r="H35" i="39"/>
  <c r="D35" i="39"/>
  <c r="E35" i="39"/>
  <c r="F35" i="39"/>
  <c r="G35" i="39"/>
  <c r="L35" i="39"/>
  <c r="M35" i="39"/>
  <c r="N35" i="39"/>
  <c r="O35" i="39"/>
  <c r="P35" i="39" l="1"/>
  <c r="O68" i="39" l="1"/>
  <c r="N68" i="39"/>
  <c r="M68" i="39"/>
  <c r="L68" i="39"/>
  <c r="K68" i="39"/>
  <c r="J68" i="39"/>
  <c r="I68" i="39"/>
  <c r="H68" i="39"/>
  <c r="G68" i="39"/>
  <c r="F68" i="39"/>
  <c r="E68" i="39"/>
  <c r="D68" i="39"/>
  <c r="P85" i="39"/>
  <c r="O34" i="39"/>
  <c r="N34" i="39"/>
  <c r="M34" i="39"/>
  <c r="L34" i="39"/>
  <c r="K34" i="39"/>
  <c r="J34" i="39"/>
  <c r="I34" i="39"/>
  <c r="H34" i="39"/>
  <c r="G34" i="39"/>
  <c r="F34" i="39"/>
  <c r="E34" i="39"/>
  <c r="D34" i="39"/>
  <c r="P51" i="39"/>
  <c r="H4" i="58"/>
  <c r="D7" i="59"/>
  <c r="P34" i="39" l="1"/>
  <c r="D8" i="51"/>
  <c r="D8" i="52"/>
  <c r="D6" i="51"/>
  <c r="G11" i="51" l="1"/>
  <c r="I11" i="43"/>
  <c r="R4" i="58"/>
  <c r="Q4" i="58"/>
  <c r="B171" i="57"/>
  <c r="S15" i="39"/>
  <c r="S5" i="39"/>
  <c r="S6" i="39"/>
  <c r="S7" i="39"/>
  <c r="S8" i="39"/>
  <c r="S9" i="39"/>
  <c r="S10" i="39"/>
  <c r="S11" i="39"/>
  <c r="S12" i="39"/>
  <c r="S13" i="39"/>
  <c r="S14" i="39"/>
  <c r="S4" i="39"/>
  <c r="P86" i="39"/>
  <c r="R11" i="39"/>
  <c r="D10" i="50" s="1"/>
  <c r="R12" i="39"/>
  <c r="R13" i="39"/>
  <c r="D10" i="52" s="1"/>
  <c r="R14" i="39"/>
  <c r="D10" i="53" s="1"/>
  <c r="R15" i="39"/>
  <c r="D10" i="54" s="1"/>
  <c r="R5" i="39"/>
  <c r="D10" i="44" s="1"/>
  <c r="R6" i="39"/>
  <c r="D10" i="45" s="1"/>
  <c r="R7" i="39"/>
  <c r="R8" i="39"/>
  <c r="D10" i="47" s="1"/>
  <c r="R9" i="39"/>
  <c r="R10" i="39"/>
  <c r="D10" i="49" s="1"/>
  <c r="R4" i="39"/>
  <c r="J222" i="41"/>
  <c r="J11" i="51" s="1"/>
  <c r="AD295" i="41"/>
  <c r="AE295" i="41"/>
  <c r="AF295" i="41"/>
  <c r="AG295" i="41"/>
  <c r="AH295" i="41"/>
  <c r="AI295" i="41"/>
  <c r="AJ295" i="41"/>
  <c r="AK295" i="41"/>
  <c r="Z295" i="41"/>
  <c r="AA295" i="41"/>
  <c r="AB295" i="41"/>
  <c r="AC295" i="41"/>
  <c r="P295" i="41"/>
  <c r="Q295" i="41"/>
  <c r="R295" i="41"/>
  <c r="S295" i="41"/>
  <c r="T295" i="41"/>
  <c r="U295" i="41"/>
  <c r="V295" i="41"/>
  <c r="W295" i="41"/>
  <c r="X295" i="41"/>
  <c r="Y295" i="41"/>
  <c r="C295" i="41"/>
  <c r="D295" i="41"/>
  <c r="E295" i="41"/>
  <c r="F295" i="41"/>
  <c r="G295" i="41"/>
  <c r="H295" i="41"/>
  <c r="I295" i="41"/>
  <c r="J295" i="41"/>
  <c r="K295" i="41"/>
  <c r="L295" i="41"/>
  <c r="M295" i="41"/>
  <c r="N295" i="41"/>
  <c r="O295" i="41"/>
  <c r="B295" i="41"/>
  <c r="D10" i="46" l="1"/>
  <c r="N170" i="41"/>
  <c r="O170" i="41" s="1"/>
  <c r="A118" i="41"/>
  <c r="B2" i="44" l="1"/>
  <c r="D3" i="44"/>
  <c r="D4" i="44"/>
  <c r="D6" i="44"/>
  <c r="D8" i="44"/>
  <c r="C5" i="43" l="1"/>
  <c r="D8" i="59" l="1"/>
  <c r="D5" i="59"/>
  <c r="C4" i="59"/>
  <c r="D6" i="54"/>
  <c r="D6" i="53"/>
  <c r="D6" i="52"/>
  <c r="D6" i="50"/>
  <c r="D6" i="48"/>
  <c r="D6" i="47"/>
  <c r="D6" i="46"/>
  <c r="D6" i="49"/>
  <c r="D6" i="45"/>
  <c r="D6" i="43"/>
  <c r="I5" i="39"/>
  <c r="D5" i="44" s="1"/>
  <c r="I6" i="39"/>
  <c r="D5" i="45" s="1"/>
  <c r="I7" i="39"/>
  <c r="D5" i="46" s="1"/>
  <c r="I8" i="39"/>
  <c r="D5" i="47" s="1"/>
  <c r="I9" i="39"/>
  <c r="D5" i="48" s="1"/>
  <c r="I10" i="39"/>
  <c r="D5" i="49" s="1"/>
  <c r="I11" i="39"/>
  <c r="D5" i="50" s="1"/>
  <c r="I12" i="39"/>
  <c r="D5" i="51" s="1"/>
  <c r="I13" i="39"/>
  <c r="D5" i="52" s="1"/>
  <c r="I14" i="39"/>
  <c r="D5" i="53" s="1"/>
  <c r="I15" i="39"/>
  <c r="D5" i="54" s="1"/>
  <c r="D5" i="43"/>
  <c r="I16" i="39" l="1"/>
  <c r="C6" i="43"/>
  <c r="C5" i="59" l="1"/>
  <c r="C8" i="59"/>
  <c r="J16" i="39" l="1"/>
  <c r="I11" i="59" l="1"/>
  <c r="G11" i="59"/>
  <c r="B300" i="57"/>
  <c r="B299" i="57"/>
  <c r="B298" i="57"/>
  <c r="B297" i="57"/>
  <c r="B296" i="57"/>
  <c r="B295" i="57"/>
  <c r="B294" i="57"/>
  <c r="B293" i="57"/>
  <c r="B292" i="57"/>
  <c r="B291" i="57"/>
  <c r="B290" i="57"/>
  <c r="B289" i="57"/>
  <c r="B267" i="57"/>
  <c r="J11" i="59" s="1"/>
  <c r="B266" i="57"/>
  <c r="I11" i="54"/>
  <c r="G11" i="54"/>
  <c r="I11" i="53"/>
  <c r="G11" i="53"/>
  <c r="I11" i="52"/>
  <c r="G11" i="52"/>
  <c r="I11" i="50"/>
  <c r="G11" i="50"/>
  <c r="I11" i="49"/>
  <c r="G11" i="49"/>
  <c r="I11" i="48"/>
  <c r="G11" i="48"/>
  <c r="I11" i="47"/>
  <c r="G11" i="47"/>
  <c r="I11" i="46"/>
  <c r="G11" i="46"/>
  <c r="I11" i="45"/>
  <c r="G11" i="45"/>
  <c r="I11" i="44"/>
  <c r="G11" i="44"/>
  <c r="G11" i="43"/>
  <c r="M222" i="41"/>
  <c r="J11" i="54" s="1"/>
  <c r="L222" i="41"/>
  <c r="J11" i="53" s="1"/>
  <c r="K222" i="41"/>
  <c r="J11" i="52" s="1"/>
  <c r="I222" i="41"/>
  <c r="J11" i="50" s="1"/>
  <c r="H222" i="41"/>
  <c r="J11" i="49" s="1"/>
  <c r="G222" i="41"/>
  <c r="J11" i="48" s="1"/>
  <c r="F222" i="41"/>
  <c r="J11" i="47" s="1"/>
  <c r="E222" i="41"/>
  <c r="J11" i="46" s="1"/>
  <c r="D222" i="41"/>
  <c r="J11" i="45" s="1"/>
  <c r="C222" i="41"/>
  <c r="J11" i="44" s="1"/>
  <c r="B222" i="41"/>
  <c r="J11" i="43" s="1"/>
  <c r="M221" i="41"/>
  <c r="L221" i="41"/>
  <c r="K221" i="41"/>
  <c r="J221" i="41"/>
  <c r="I221" i="41"/>
  <c r="H221" i="41"/>
  <c r="G221" i="41"/>
  <c r="F221" i="41"/>
  <c r="E221" i="41"/>
  <c r="D221" i="41"/>
  <c r="C221" i="41"/>
  <c r="B221" i="41"/>
  <c r="B15" i="57" l="1"/>
  <c r="B14" i="57"/>
  <c r="B13" i="57"/>
  <c r="B12" i="57"/>
  <c r="B11" i="57"/>
  <c r="B10" i="57"/>
  <c r="B9" i="57"/>
  <c r="B8" i="57"/>
  <c r="B7" i="57"/>
  <c r="B6" i="57"/>
  <c r="B5" i="57"/>
  <c r="B4" i="57"/>
  <c r="E16" i="39" l="1"/>
  <c r="AH255" i="41" l="1"/>
  <c r="AG255" i="41"/>
  <c r="AF255" i="41"/>
  <c r="AE255" i="41"/>
  <c r="AD255" i="41"/>
  <c r="AC255" i="41"/>
  <c r="AB255" i="41"/>
  <c r="AA255" i="41"/>
  <c r="Z255" i="41"/>
  <c r="Y255" i="41"/>
  <c r="X255" i="41"/>
  <c r="W255" i="41"/>
  <c r="V255" i="41"/>
  <c r="U255" i="41"/>
  <c r="T255" i="41"/>
  <c r="S255" i="41"/>
  <c r="R255" i="41"/>
  <c r="Q255" i="41"/>
  <c r="P255" i="41"/>
  <c r="O255" i="41"/>
  <c r="N255" i="41"/>
  <c r="M273" i="41"/>
  <c r="L273" i="41"/>
  <c r="K273" i="41"/>
  <c r="J273" i="41"/>
  <c r="I273" i="41"/>
  <c r="H273" i="41"/>
  <c r="G273" i="41"/>
  <c r="F273" i="41"/>
  <c r="E273" i="41"/>
  <c r="D273" i="41"/>
  <c r="C273" i="41"/>
  <c r="B273" i="41"/>
  <c r="O67" i="39" l="1"/>
  <c r="N67" i="39"/>
  <c r="M67" i="39"/>
  <c r="L67" i="39"/>
  <c r="K67" i="39"/>
  <c r="J67" i="39"/>
  <c r="I67" i="39"/>
  <c r="H67" i="39"/>
  <c r="G67" i="39"/>
  <c r="F67" i="39"/>
  <c r="E67" i="39"/>
  <c r="D67" i="39"/>
  <c r="P84" i="39"/>
  <c r="P68" i="39" s="1"/>
  <c r="O33" i="39"/>
  <c r="N33" i="39"/>
  <c r="M33" i="39"/>
  <c r="L33" i="39"/>
  <c r="K33" i="39"/>
  <c r="J33" i="39"/>
  <c r="I33" i="39"/>
  <c r="H33" i="39"/>
  <c r="G33" i="39"/>
  <c r="F33" i="39"/>
  <c r="E33" i="39"/>
  <c r="D33" i="39"/>
  <c r="P50" i="39"/>
  <c r="N168" i="41"/>
  <c r="O168" i="41" s="1"/>
  <c r="P67" i="39" l="1"/>
  <c r="P33" i="39"/>
  <c r="B1" i="49"/>
  <c r="B198" i="57" l="1"/>
  <c r="B199" i="57" l="1"/>
  <c r="B281" i="57" l="1"/>
  <c r="B275" i="57"/>
  <c r="B280" i="57"/>
  <c r="B274" i="57"/>
  <c r="B279" i="57"/>
  <c r="B273" i="57"/>
  <c r="B276" i="57"/>
  <c r="B278" i="57"/>
  <c r="B282" i="57"/>
  <c r="B284" i="57"/>
  <c r="B277" i="57"/>
  <c r="B283" i="57"/>
  <c r="G16" i="39"/>
  <c r="B285" i="57" l="1"/>
  <c r="B168" i="57"/>
  <c r="P83" i="39" l="1"/>
  <c r="O66" i="39"/>
  <c r="N66" i="39"/>
  <c r="M66" i="39"/>
  <c r="L66" i="39"/>
  <c r="K66" i="39"/>
  <c r="J66" i="39"/>
  <c r="I66" i="39"/>
  <c r="H66" i="39"/>
  <c r="G66" i="39"/>
  <c r="F66" i="39"/>
  <c r="E66" i="39"/>
  <c r="D66" i="39"/>
  <c r="P49" i="39"/>
  <c r="O32" i="39"/>
  <c r="N32" i="39"/>
  <c r="M32" i="39"/>
  <c r="L32" i="39"/>
  <c r="K32" i="39"/>
  <c r="J32" i="39"/>
  <c r="I32" i="39"/>
  <c r="H32" i="39"/>
  <c r="G32" i="39"/>
  <c r="F32" i="39"/>
  <c r="E32" i="39"/>
  <c r="D32" i="39"/>
  <c r="I117" i="41"/>
  <c r="I116" i="41"/>
  <c r="I115" i="41"/>
  <c r="I114" i="41"/>
  <c r="I113" i="41"/>
  <c r="I112" i="41"/>
  <c r="I111" i="41"/>
  <c r="I110" i="41"/>
  <c r="I109" i="41"/>
  <c r="I108" i="41"/>
  <c r="I107" i="41"/>
  <c r="I106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P66" i="39" l="1"/>
  <c r="P32" i="39"/>
  <c r="F2" i="59" l="1"/>
  <c r="F2" i="54"/>
  <c r="D6" i="59"/>
  <c r="L16" i="39" l="1"/>
  <c r="N166" i="41" l="1"/>
  <c r="B1" i="50" l="1"/>
  <c r="B1" i="51"/>
  <c r="I4" i="59"/>
  <c r="G4" i="59"/>
  <c r="I4" i="54"/>
  <c r="G4" i="54"/>
  <c r="I4" i="53"/>
  <c r="G4" i="53"/>
  <c r="I4" i="52"/>
  <c r="G4" i="52"/>
  <c r="I4" i="51"/>
  <c r="G4" i="51"/>
  <c r="I4" i="50"/>
  <c r="G4" i="50"/>
  <c r="I4" i="49"/>
  <c r="G4" i="49"/>
  <c r="I4" i="48"/>
  <c r="G4" i="48"/>
  <c r="I4" i="47"/>
  <c r="G4" i="47"/>
  <c r="I4" i="46"/>
  <c r="G4" i="46"/>
  <c r="I4" i="45"/>
  <c r="G4" i="45"/>
  <c r="I4" i="44"/>
  <c r="G4" i="44"/>
  <c r="I4" i="43"/>
  <c r="G4" i="43"/>
  <c r="B1" i="59"/>
  <c r="B1" i="54"/>
  <c r="B1" i="53"/>
  <c r="B1" i="52"/>
  <c r="B1" i="48"/>
  <c r="B1" i="47"/>
  <c r="B1" i="46"/>
  <c r="B1" i="45"/>
  <c r="B1" i="44"/>
  <c r="B2" i="59"/>
  <c r="B2" i="54"/>
  <c r="B2" i="53"/>
  <c r="B2" i="52"/>
  <c r="B2" i="51"/>
  <c r="B2" i="50"/>
  <c r="B2" i="49"/>
  <c r="B2" i="48"/>
  <c r="B2" i="47"/>
  <c r="B2" i="46"/>
  <c r="B2" i="45"/>
  <c r="B2" i="43"/>
  <c r="B1" i="43"/>
  <c r="F2" i="43"/>
  <c r="F2" i="44"/>
  <c r="A49" i="57" l="1"/>
  <c r="A86" i="57" s="1"/>
  <c r="A102" i="57" s="1"/>
  <c r="A139" i="57" s="1"/>
  <c r="A155" i="57" s="1"/>
  <c r="A48" i="57"/>
  <c r="A85" i="57" s="1"/>
  <c r="A101" i="57" s="1"/>
  <c r="A138" i="57" s="1"/>
  <c r="A154" i="57" s="1"/>
  <c r="A47" i="57"/>
  <c r="A84" i="57" s="1"/>
  <c r="A100" i="57" s="1"/>
  <c r="A137" i="57" s="1"/>
  <c r="A153" i="57" s="1"/>
  <c r="A46" i="57"/>
  <c r="A83" i="57" s="1"/>
  <c r="A99" i="57" s="1"/>
  <c r="A136" i="57" s="1"/>
  <c r="A152" i="57" s="1"/>
  <c r="A45" i="57"/>
  <c r="A82" i="57" s="1"/>
  <c r="A98" i="57" s="1"/>
  <c r="A135" i="57" s="1"/>
  <c r="A151" i="57" s="1"/>
  <c r="A44" i="57"/>
  <c r="A81" i="57" s="1"/>
  <c r="A97" i="57" s="1"/>
  <c r="A134" i="57" s="1"/>
  <c r="A150" i="57" s="1"/>
  <c r="A43" i="57"/>
  <c r="A80" i="57" s="1"/>
  <c r="A96" i="57" s="1"/>
  <c r="A133" i="57" s="1"/>
  <c r="A149" i="57" s="1"/>
  <c r="A42" i="57"/>
  <c r="A79" i="57" s="1"/>
  <c r="A95" i="57" s="1"/>
  <c r="A132" i="57" s="1"/>
  <c r="A148" i="57" s="1"/>
  <c r="A41" i="57"/>
  <c r="A78" i="57" s="1"/>
  <c r="A94" i="57" s="1"/>
  <c r="A131" i="57" s="1"/>
  <c r="A147" i="57" s="1"/>
  <c r="A40" i="57"/>
  <c r="A77" i="57" s="1"/>
  <c r="A93" i="57" s="1"/>
  <c r="A130" i="57" s="1"/>
  <c r="A146" i="57" s="1"/>
  <c r="A39" i="57"/>
  <c r="A76" i="57" s="1"/>
  <c r="A92" i="57" s="1"/>
  <c r="A129" i="57" s="1"/>
  <c r="A145" i="57" s="1"/>
  <c r="A38" i="57"/>
  <c r="A75" i="57" s="1"/>
  <c r="A91" i="57" s="1"/>
  <c r="A128" i="57" s="1"/>
  <c r="A144" i="57" s="1"/>
  <c r="D68" i="57"/>
  <c r="A68" i="57" s="1"/>
  <c r="A120" i="57" s="1"/>
  <c r="D67" i="57"/>
  <c r="A67" i="57" s="1"/>
  <c r="A119" i="57" s="1"/>
  <c r="D66" i="57"/>
  <c r="A66" i="57" s="1"/>
  <c r="A118" i="57" s="1"/>
  <c r="D65" i="57"/>
  <c r="A65" i="57" s="1"/>
  <c r="A117" i="57" s="1"/>
  <c r="D64" i="57"/>
  <c r="A64" i="57" s="1"/>
  <c r="A116" i="57" s="1"/>
  <c r="D63" i="57"/>
  <c r="A63" i="57" s="1"/>
  <c r="A115" i="57" s="1"/>
  <c r="D62" i="57"/>
  <c r="A62" i="57" s="1"/>
  <c r="A114" i="57" s="1"/>
  <c r="D61" i="57"/>
  <c r="A61" i="57" s="1"/>
  <c r="A113" i="57" s="1"/>
  <c r="D60" i="57"/>
  <c r="A60" i="57" s="1"/>
  <c r="A112" i="57" s="1"/>
  <c r="D59" i="57"/>
  <c r="A59" i="57" s="1"/>
  <c r="A111" i="57" s="1"/>
  <c r="D58" i="57"/>
  <c r="A58" i="57" s="1"/>
  <c r="A110" i="57" s="1"/>
  <c r="D57" i="57"/>
  <c r="A57" i="57" s="1"/>
  <c r="A109" i="57" s="1"/>
  <c r="D56" i="57"/>
  <c r="A56" i="57" s="1"/>
  <c r="A108" i="57" s="1"/>
  <c r="A15" i="57"/>
  <c r="A14" i="57"/>
  <c r="A13" i="57"/>
  <c r="A12" i="57"/>
  <c r="A11" i="57"/>
  <c r="A10" i="57"/>
  <c r="A9" i="57"/>
  <c r="A8" i="57"/>
  <c r="A7" i="57"/>
  <c r="A6" i="57"/>
  <c r="A5" i="57"/>
  <c r="A4" i="57"/>
  <c r="A3" i="57"/>
  <c r="A209" i="57" l="1"/>
  <c r="A225" i="57" s="1"/>
  <c r="A277" i="57"/>
  <c r="A293" i="57" s="1"/>
  <c r="A195" i="57"/>
  <c r="A263" i="57"/>
  <c r="A210" i="57"/>
  <c r="A226" i="57" s="1"/>
  <c r="A278" i="57"/>
  <c r="A294" i="57" s="1"/>
  <c r="A188" i="57"/>
  <c r="A256" i="57"/>
  <c r="A196" i="57"/>
  <c r="A264" i="57"/>
  <c r="A211" i="57"/>
  <c r="A227" i="57" s="1"/>
  <c r="A279" i="57"/>
  <c r="A295" i="57" s="1"/>
  <c r="A186" i="57"/>
  <c r="A254" i="57"/>
  <c r="A189" i="57"/>
  <c r="A257" i="57"/>
  <c r="A197" i="57"/>
  <c r="A265" i="57"/>
  <c r="A212" i="57"/>
  <c r="A228" i="57" s="1"/>
  <c r="A280" i="57"/>
  <c r="A296" i="57" s="1"/>
  <c r="A187" i="57"/>
  <c r="A255" i="57"/>
  <c r="A205" i="57"/>
  <c r="A221" i="57" s="1"/>
  <c r="A273" i="57"/>
  <c r="A289" i="57" s="1"/>
  <c r="A213" i="57"/>
  <c r="A229" i="57" s="1"/>
  <c r="A281" i="57"/>
  <c r="A297" i="57" s="1"/>
  <c r="A194" i="57"/>
  <c r="A262" i="57"/>
  <c r="A190" i="57"/>
  <c r="A258" i="57"/>
  <c r="A191" i="57"/>
  <c r="A259" i="57"/>
  <c r="A206" i="57"/>
  <c r="A222" i="57" s="1"/>
  <c r="A274" i="57"/>
  <c r="A290" i="57" s="1"/>
  <c r="A214" i="57"/>
  <c r="A230" i="57" s="1"/>
  <c r="A282" i="57"/>
  <c r="A298" i="57" s="1"/>
  <c r="A192" i="57"/>
  <c r="A260" i="57"/>
  <c r="A207" i="57"/>
  <c r="A223" i="57" s="1"/>
  <c r="A275" i="57"/>
  <c r="A291" i="57" s="1"/>
  <c r="A215" i="57"/>
  <c r="A231" i="57" s="1"/>
  <c r="A283" i="57"/>
  <c r="A299" i="57" s="1"/>
  <c r="A185" i="57"/>
  <c r="A253" i="57"/>
  <c r="A193" i="57"/>
  <c r="A261" i="57"/>
  <c r="A208" i="57"/>
  <c r="A224" i="57" s="1"/>
  <c r="A276" i="57"/>
  <c r="A292" i="57" s="1"/>
  <c r="A216" i="57"/>
  <c r="A232" i="57" s="1"/>
  <c r="A284" i="57"/>
  <c r="A300" i="57" s="1"/>
  <c r="A84" i="41"/>
  <c r="A83" i="41"/>
  <c r="A82" i="41"/>
  <c r="A81" i="41"/>
  <c r="A80" i="41"/>
  <c r="A79" i="41"/>
  <c r="A78" i="41"/>
  <c r="A77" i="41"/>
  <c r="A76" i="41"/>
  <c r="A75" i="41"/>
  <c r="A74" i="41"/>
  <c r="A73" i="41"/>
  <c r="O166" i="41"/>
  <c r="AI117" i="41"/>
  <c r="AI116" i="41"/>
  <c r="AI115" i="41"/>
  <c r="AI114" i="41"/>
  <c r="AI113" i="41"/>
  <c r="AI112" i="41"/>
  <c r="AI111" i="41"/>
  <c r="AI110" i="41"/>
  <c r="AI109" i="41"/>
  <c r="AI108" i="41"/>
  <c r="AI107" i="41"/>
  <c r="AI106" i="41"/>
  <c r="AH118" i="41"/>
  <c r="AG118" i="41"/>
  <c r="AF118" i="41"/>
  <c r="AE118" i="41"/>
  <c r="AD118" i="41"/>
  <c r="AC118" i="41"/>
  <c r="AB118" i="41"/>
  <c r="AA118" i="41"/>
  <c r="Z118" i="41"/>
  <c r="Y118" i="41"/>
  <c r="X118" i="41"/>
  <c r="W118" i="41"/>
  <c r="V118" i="41"/>
  <c r="U118" i="41"/>
  <c r="T118" i="41"/>
  <c r="S118" i="41"/>
  <c r="R118" i="41"/>
  <c r="Q118" i="41"/>
  <c r="I118" i="41" l="1"/>
  <c r="G118" i="41"/>
  <c r="AI118" i="41"/>
  <c r="A100" i="41"/>
  <c r="A136" i="41" s="1"/>
  <c r="A152" i="41" s="1"/>
  <c r="A220" i="41" s="1"/>
  <c r="A98" i="41"/>
  <c r="A134" i="41" s="1"/>
  <c r="A150" i="41" s="1"/>
  <c r="A218" i="41" s="1"/>
  <c r="A92" i="41"/>
  <c r="A128" i="41" s="1"/>
  <c r="A144" i="41" s="1"/>
  <c r="A212" i="41" s="1"/>
  <c r="A90" i="41"/>
  <c r="A126" i="41" s="1"/>
  <c r="A142" i="41" s="1"/>
  <c r="A210" i="41" s="1"/>
  <c r="A99" i="41"/>
  <c r="A135" i="41" s="1"/>
  <c r="A151" i="41" s="1"/>
  <c r="A219" i="41" s="1"/>
  <c r="A97" i="41"/>
  <c r="A133" i="41" s="1"/>
  <c r="A149" i="41" s="1"/>
  <c r="A217" i="41" s="1"/>
  <c r="A96" i="41"/>
  <c r="A132" i="41" s="1"/>
  <c r="A148" i="41" s="1"/>
  <c r="A216" i="41" s="1"/>
  <c r="A95" i="41"/>
  <c r="A131" i="41" s="1"/>
  <c r="A147" i="41" s="1"/>
  <c r="A215" i="41" s="1"/>
  <c r="A94" i="41"/>
  <c r="A130" i="41" s="1"/>
  <c r="A146" i="41" s="1"/>
  <c r="A214" i="41" s="1"/>
  <c r="A93" i="41"/>
  <c r="A129" i="41" s="1"/>
  <c r="A145" i="41" s="1"/>
  <c r="A213" i="41" s="1"/>
  <c r="A91" i="41"/>
  <c r="A127" i="41" s="1"/>
  <c r="A143" i="41" s="1"/>
  <c r="A211" i="41" s="1"/>
  <c r="A89" i="41"/>
  <c r="A125" i="41" s="1"/>
  <c r="A141" i="41" s="1"/>
  <c r="A209" i="41" s="1"/>
  <c r="P66" i="41"/>
  <c r="P117" i="41" s="1"/>
  <c r="A117" i="41" s="1"/>
  <c r="P65" i="41"/>
  <c r="A65" i="41" s="1"/>
  <c r="P64" i="41"/>
  <c r="A64" i="41" s="1"/>
  <c r="P63" i="41"/>
  <c r="A63" i="41" s="1"/>
  <c r="P62" i="41"/>
  <c r="A62" i="41" s="1"/>
  <c r="P61" i="41"/>
  <c r="A61" i="41" s="1"/>
  <c r="P60" i="41"/>
  <c r="A60" i="41" s="1"/>
  <c r="P59" i="41"/>
  <c r="A59" i="41" s="1"/>
  <c r="P58" i="41"/>
  <c r="P109" i="41" s="1"/>
  <c r="A109" i="41" s="1"/>
  <c r="P57" i="41"/>
  <c r="A57" i="41" s="1"/>
  <c r="P56" i="41"/>
  <c r="P107" i="41" s="1"/>
  <c r="A107" i="41" s="1"/>
  <c r="P55" i="41"/>
  <c r="A55" i="41" s="1"/>
  <c r="A48" i="41"/>
  <c r="A47" i="41"/>
  <c r="A46" i="41"/>
  <c r="A45" i="41"/>
  <c r="A44" i="41"/>
  <c r="A43" i="41"/>
  <c r="A42" i="41"/>
  <c r="A41" i="41"/>
  <c r="A40" i="41"/>
  <c r="A39" i="41"/>
  <c r="A38" i="41"/>
  <c r="A37" i="41"/>
  <c r="A14" i="41"/>
  <c r="A13" i="41"/>
  <c r="A12" i="41"/>
  <c r="A11" i="41"/>
  <c r="A10" i="41"/>
  <c r="A9" i="41"/>
  <c r="A8" i="41"/>
  <c r="A7" i="41"/>
  <c r="A6" i="41"/>
  <c r="A5" i="41"/>
  <c r="A4" i="41"/>
  <c r="A3" i="41"/>
  <c r="O65" i="39"/>
  <c r="N65" i="39"/>
  <c r="M65" i="39"/>
  <c r="L65" i="39"/>
  <c r="K65" i="39"/>
  <c r="J65" i="39"/>
  <c r="I65" i="39"/>
  <c r="H65" i="39"/>
  <c r="G65" i="39"/>
  <c r="F65" i="39"/>
  <c r="E65" i="39"/>
  <c r="D65" i="39"/>
  <c r="P82" i="39"/>
  <c r="P48" i="39"/>
  <c r="O31" i="39"/>
  <c r="N31" i="39"/>
  <c r="M31" i="39"/>
  <c r="L31" i="39"/>
  <c r="K31" i="39"/>
  <c r="J31" i="39"/>
  <c r="I31" i="39"/>
  <c r="H31" i="39"/>
  <c r="G31" i="39"/>
  <c r="F31" i="39"/>
  <c r="E31" i="39"/>
  <c r="D31" i="39"/>
  <c r="N15" i="39"/>
  <c r="N14" i="39"/>
  <c r="N13" i="39"/>
  <c r="D7" i="52" s="1"/>
  <c r="N12" i="39"/>
  <c r="D7" i="51" s="1"/>
  <c r="N11" i="39"/>
  <c r="N10" i="39"/>
  <c r="N9" i="39"/>
  <c r="N8" i="39"/>
  <c r="N7" i="39"/>
  <c r="N6" i="39"/>
  <c r="N5" i="39"/>
  <c r="D7" i="44" s="1"/>
  <c r="P31" i="39" l="1"/>
  <c r="A56" i="41"/>
  <c r="A230" i="41"/>
  <c r="A246" i="41" s="1"/>
  <c r="A231" i="41"/>
  <c r="A247" i="41" s="1"/>
  <c r="A236" i="41"/>
  <c r="A252" i="41" s="1"/>
  <c r="A232" i="41"/>
  <c r="A248" i="41" s="1"/>
  <c r="A238" i="41"/>
  <c r="A254" i="41" s="1"/>
  <c r="A237" i="41"/>
  <c r="A253" i="41" s="1"/>
  <c r="A233" i="41"/>
  <c r="A249" i="41" s="1"/>
  <c r="P106" i="41"/>
  <c r="A106" i="41" s="1"/>
  <c r="A234" i="41"/>
  <c r="A250" i="41" s="1"/>
  <c r="P114" i="41"/>
  <c r="A114" i="41" s="1"/>
  <c r="A235" i="41"/>
  <c r="A251" i="41" s="1"/>
  <c r="A229" i="41"/>
  <c r="A245" i="41" s="1"/>
  <c r="A228" i="41"/>
  <c r="A244" i="41" s="1"/>
  <c r="A227" i="41"/>
  <c r="A243" i="41" s="1"/>
  <c r="A58" i="41"/>
  <c r="P115" i="41"/>
  <c r="A115" i="41" s="1"/>
  <c r="P108" i="41"/>
  <c r="A108" i="41" s="1"/>
  <c r="P116" i="41"/>
  <c r="A116" i="41" s="1"/>
  <c r="A66" i="41"/>
  <c r="P110" i="41"/>
  <c r="A110" i="41" s="1"/>
  <c r="P111" i="41"/>
  <c r="A111" i="41" s="1"/>
  <c r="P112" i="41"/>
  <c r="A112" i="41" s="1"/>
  <c r="P113" i="41"/>
  <c r="A113" i="41" s="1"/>
  <c r="P65" i="39"/>
  <c r="D11" i="59" l="1"/>
  <c r="I9" i="59"/>
  <c r="G9" i="59"/>
  <c r="D4" i="59"/>
  <c r="D3" i="59"/>
  <c r="S4" i="58"/>
  <c r="D12" i="59" s="1"/>
  <c r="N4" i="58"/>
  <c r="D10" i="59" s="1"/>
  <c r="M4" i="58"/>
  <c r="D9" i="59" s="1"/>
  <c r="B232" i="57"/>
  <c r="B231" i="57"/>
  <c r="B230" i="57"/>
  <c r="B229" i="57"/>
  <c r="B228" i="57"/>
  <c r="B227" i="57"/>
  <c r="B226" i="57"/>
  <c r="B225" i="57"/>
  <c r="B224" i="57"/>
  <c r="B223" i="57"/>
  <c r="B222" i="57"/>
  <c r="B221" i="57"/>
  <c r="B213" i="57"/>
  <c r="B166" i="57"/>
  <c r="B165" i="57"/>
  <c r="B164" i="57"/>
  <c r="B163" i="57"/>
  <c r="B162" i="57"/>
  <c r="B161" i="57"/>
  <c r="B160" i="57"/>
  <c r="B155" i="57"/>
  <c r="B154" i="57"/>
  <c r="B153" i="57"/>
  <c r="B152" i="57"/>
  <c r="B151" i="57"/>
  <c r="B150" i="57"/>
  <c r="B149" i="57"/>
  <c r="B148" i="57"/>
  <c r="B147" i="57"/>
  <c r="B146" i="57"/>
  <c r="B145" i="57"/>
  <c r="B144" i="57"/>
  <c r="C123" i="57"/>
  <c r="B122" i="57"/>
  <c r="B137" i="57" s="1"/>
  <c r="B121" i="57"/>
  <c r="E69" i="57"/>
  <c r="B68" i="57"/>
  <c r="B67" i="57"/>
  <c r="B66" i="57"/>
  <c r="B65" i="57"/>
  <c r="B64" i="57"/>
  <c r="B63" i="57"/>
  <c r="B62" i="57"/>
  <c r="B61" i="57"/>
  <c r="B60" i="57"/>
  <c r="B59" i="57"/>
  <c r="B58" i="57"/>
  <c r="B57" i="57"/>
  <c r="B56" i="57"/>
  <c r="E16" i="57"/>
  <c r="B3" i="57"/>
  <c r="B97" i="57" l="1"/>
  <c r="B47" i="57"/>
  <c r="B39" i="57"/>
  <c r="B208" i="57"/>
  <c r="B210" i="57"/>
  <c r="B216" i="57"/>
  <c r="J9" i="59"/>
  <c r="B99" i="57"/>
  <c r="B94" i="57"/>
  <c r="B96" i="57"/>
  <c r="B98" i="57"/>
  <c r="B93" i="57"/>
  <c r="B101" i="57"/>
  <c r="B95" i="57"/>
  <c r="B102" i="57"/>
  <c r="B91" i="57"/>
  <c r="B17" i="57"/>
  <c r="J5" i="59" s="1"/>
  <c r="B48" i="57"/>
  <c r="B46" i="57"/>
  <c r="B43" i="57"/>
  <c r="B44" i="57"/>
  <c r="B45" i="57"/>
  <c r="B40" i="57"/>
  <c r="B41" i="57"/>
  <c r="B49" i="57"/>
  <c r="B92" i="57"/>
  <c r="B100" i="57"/>
  <c r="B130" i="57"/>
  <c r="B138" i="57"/>
  <c r="B206" i="57"/>
  <c r="B214" i="57"/>
  <c r="B70" i="57"/>
  <c r="B131" i="57"/>
  <c r="B139" i="57"/>
  <c r="B207" i="57"/>
  <c r="B215" i="57"/>
  <c r="B42" i="57"/>
  <c r="B132" i="57"/>
  <c r="B133" i="57"/>
  <c r="B209" i="57"/>
  <c r="B16" i="57"/>
  <c r="B38" i="57"/>
  <c r="B135" i="57"/>
  <c r="B211" i="57"/>
  <c r="B134" i="57"/>
  <c r="B128" i="57"/>
  <c r="B136" i="57"/>
  <c r="B212" i="57"/>
  <c r="B69" i="57"/>
  <c r="B129" i="57"/>
  <c r="B205" i="57"/>
  <c r="B33" i="57" l="1"/>
  <c r="B26" i="57"/>
  <c r="B22" i="57"/>
  <c r="B80" i="57"/>
  <c r="J7" i="59"/>
  <c r="I7" i="59"/>
  <c r="G7" i="59"/>
  <c r="B25" i="57"/>
  <c r="B28" i="57"/>
  <c r="B32" i="57"/>
  <c r="B29" i="57"/>
  <c r="B31" i="57"/>
  <c r="B23" i="57"/>
  <c r="B27" i="57"/>
  <c r="B30" i="57"/>
  <c r="B24" i="57"/>
  <c r="I5" i="59"/>
  <c r="G5" i="59"/>
  <c r="B140" i="57"/>
  <c r="B85" i="57"/>
  <c r="B79" i="57"/>
  <c r="B77" i="57"/>
  <c r="B83" i="57"/>
  <c r="B75" i="57"/>
  <c r="B217" i="57"/>
  <c r="B86" i="57"/>
  <c r="B76" i="57"/>
  <c r="B50" i="57"/>
  <c r="B78" i="57"/>
  <c r="B84" i="57"/>
  <c r="B82" i="57"/>
  <c r="B81" i="57"/>
  <c r="B34" i="57" l="1"/>
  <c r="B87" i="57"/>
  <c r="M202" i="41" l="1"/>
  <c r="L202" i="41"/>
  <c r="K202" i="41"/>
  <c r="J202" i="41"/>
  <c r="I202" i="41"/>
  <c r="H202" i="41"/>
  <c r="G202" i="41"/>
  <c r="F202" i="41"/>
  <c r="E202" i="41"/>
  <c r="D202" i="41"/>
  <c r="C202" i="41"/>
  <c r="B202" i="41"/>
  <c r="F2" i="53" l="1"/>
  <c r="F2" i="52"/>
  <c r="F2" i="51"/>
  <c r="F2" i="50"/>
  <c r="F2" i="49"/>
  <c r="F2" i="48"/>
  <c r="F2" i="47"/>
  <c r="F2" i="46"/>
  <c r="F2" i="45"/>
  <c r="N165" i="41" l="1"/>
  <c r="O165" i="41" s="1"/>
  <c r="M117" i="41" l="1"/>
  <c r="L117" i="41"/>
  <c r="K117" i="41"/>
  <c r="J117" i="41"/>
  <c r="H117" i="41"/>
  <c r="F117" i="41"/>
  <c r="E117" i="41"/>
  <c r="D117" i="41"/>
  <c r="C117" i="41"/>
  <c r="B117" i="41"/>
  <c r="M116" i="41"/>
  <c r="L116" i="41"/>
  <c r="K116" i="41"/>
  <c r="J116" i="41"/>
  <c r="H116" i="41"/>
  <c r="F116" i="41"/>
  <c r="E116" i="41"/>
  <c r="D116" i="41"/>
  <c r="C116" i="41"/>
  <c r="B116" i="41"/>
  <c r="M115" i="41"/>
  <c r="L115" i="41"/>
  <c r="K115" i="41"/>
  <c r="J115" i="41"/>
  <c r="H115" i="41"/>
  <c r="F115" i="41"/>
  <c r="E115" i="41"/>
  <c r="D115" i="41"/>
  <c r="C115" i="41"/>
  <c r="B115" i="41"/>
  <c r="M114" i="41"/>
  <c r="L114" i="41"/>
  <c r="K114" i="41"/>
  <c r="J114" i="41"/>
  <c r="H114" i="41"/>
  <c r="F114" i="41"/>
  <c r="E114" i="41"/>
  <c r="D114" i="41"/>
  <c r="C114" i="41"/>
  <c r="B114" i="41"/>
  <c r="M113" i="41"/>
  <c r="L113" i="41"/>
  <c r="K113" i="41"/>
  <c r="J113" i="41"/>
  <c r="H113" i="41"/>
  <c r="F113" i="41"/>
  <c r="E113" i="41"/>
  <c r="D113" i="41"/>
  <c r="C113" i="41"/>
  <c r="B113" i="41"/>
  <c r="M112" i="41"/>
  <c r="L112" i="41"/>
  <c r="K112" i="41"/>
  <c r="J112" i="41"/>
  <c r="H112" i="41"/>
  <c r="F112" i="41"/>
  <c r="E112" i="41"/>
  <c r="D112" i="41"/>
  <c r="C112" i="41"/>
  <c r="B112" i="41"/>
  <c r="M111" i="41"/>
  <c r="L111" i="41"/>
  <c r="K111" i="41"/>
  <c r="J111" i="41"/>
  <c r="H111" i="41"/>
  <c r="F111" i="41"/>
  <c r="E111" i="41"/>
  <c r="D111" i="41"/>
  <c r="C111" i="41"/>
  <c r="B111" i="41"/>
  <c r="M110" i="41"/>
  <c r="L110" i="41"/>
  <c r="K110" i="41"/>
  <c r="J110" i="41"/>
  <c r="H110" i="41"/>
  <c r="F110" i="41"/>
  <c r="E110" i="41"/>
  <c r="D110" i="41"/>
  <c r="C110" i="41"/>
  <c r="B110" i="41"/>
  <c r="M109" i="41"/>
  <c r="L109" i="41"/>
  <c r="K109" i="41"/>
  <c r="J109" i="41"/>
  <c r="H109" i="41"/>
  <c r="F109" i="41"/>
  <c r="E109" i="41"/>
  <c r="D109" i="41"/>
  <c r="C109" i="41"/>
  <c r="B109" i="41"/>
  <c r="M108" i="41"/>
  <c r="L108" i="41"/>
  <c r="K108" i="41"/>
  <c r="J108" i="41"/>
  <c r="H108" i="41"/>
  <c r="F108" i="41"/>
  <c r="E108" i="41"/>
  <c r="D108" i="41"/>
  <c r="C108" i="41"/>
  <c r="B108" i="41"/>
  <c r="M107" i="41"/>
  <c r="L107" i="41"/>
  <c r="K107" i="41"/>
  <c r="J107" i="41"/>
  <c r="H107" i="41"/>
  <c r="F107" i="41"/>
  <c r="E107" i="41"/>
  <c r="D107" i="41"/>
  <c r="C107" i="41"/>
  <c r="B107" i="41"/>
  <c r="M106" i="41"/>
  <c r="L106" i="41"/>
  <c r="K106" i="41"/>
  <c r="J106" i="41"/>
  <c r="H106" i="41"/>
  <c r="F106" i="41"/>
  <c r="E106" i="41"/>
  <c r="D106" i="41"/>
  <c r="C106" i="41"/>
  <c r="B106" i="41"/>
  <c r="P81" i="39" l="1"/>
  <c r="O64" i="39"/>
  <c r="T15" i="39" s="1"/>
  <c r="D12" i="54" s="1"/>
  <c r="N64" i="39"/>
  <c r="T14" i="39" s="1"/>
  <c r="D12" i="53" s="1"/>
  <c r="M64" i="39"/>
  <c r="T13" i="39" s="1"/>
  <c r="D12" i="52" s="1"/>
  <c r="L64" i="39"/>
  <c r="T12" i="39" s="1"/>
  <c r="K64" i="39"/>
  <c r="T11" i="39" s="1"/>
  <c r="D12" i="50" s="1"/>
  <c r="J64" i="39"/>
  <c r="T10" i="39" s="1"/>
  <c r="D12" i="49" s="1"/>
  <c r="I64" i="39"/>
  <c r="T9" i="39" s="1"/>
  <c r="D12" i="48" s="1"/>
  <c r="H64" i="39"/>
  <c r="T8" i="39" s="1"/>
  <c r="D12" i="47" s="1"/>
  <c r="G64" i="39"/>
  <c r="T7" i="39" s="1"/>
  <c r="D12" i="46" s="1"/>
  <c r="F64" i="39"/>
  <c r="T6" i="39" s="1"/>
  <c r="D12" i="45" s="1"/>
  <c r="E64" i="39"/>
  <c r="T5" i="39" s="1"/>
  <c r="D12" i="44" s="1"/>
  <c r="D64" i="39"/>
  <c r="T4" i="39" s="1"/>
  <c r="P47" i="39"/>
  <c r="O30" i="39"/>
  <c r="N30" i="39"/>
  <c r="M30" i="39"/>
  <c r="L30" i="39"/>
  <c r="K30" i="39"/>
  <c r="J30" i="39"/>
  <c r="I30" i="39"/>
  <c r="H30" i="39"/>
  <c r="G30" i="39"/>
  <c r="F30" i="39"/>
  <c r="E30" i="39"/>
  <c r="D30" i="39"/>
  <c r="D12" i="51" l="1"/>
  <c r="P30" i="39"/>
  <c r="P64" i="39"/>
  <c r="C4" i="43" l="1"/>
  <c r="D8" i="54" l="1"/>
  <c r="D8" i="47"/>
  <c r="I9" i="54"/>
  <c r="G9" i="54"/>
  <c r="D4" i="54"/>
  <c r="D3" i="54"/>
  <c r="I9" i="53"/>
  <c r="G9" i="53"/>
  <c r="D8" i="53"/>
  <c r="D4" i="53"/>
  <c r="D3" i="53"/>
  <c r="I9" i="52"/>
  <c r="G9" i="52"/>
  <c r="D4" i="52"/>
  <c r="D3" i="52"/>
  <c r="K203" i="41"/>
  <c r="J119" i="41"/>
  <c r="J9" i="51" s="1"/>
  <c r="I9" i="51"/>
  <c r="G9" i="51"/>
  <c r="J55" i="41"/>
  <c r="J56" i="41"/>
  <c r="J57" i="41"/>
  <c r="J58" i="41"/>
  <c r="J59" i="41"/>
  <c r="J60" i="41"/>
  <c r="J61" i="41"/>
  <c r="J62" i="41"/>
  <c r="J63" i="41"/>
  <c r="J64" i="41"/>
  <c r="J65" i="41"/>
  <c r="J66" i="41"/>
  <c r="J3" i="41"/>
  <c r="J4" i="41"/>
  <c r="J5" i="41"/>
  <c r="J6" i="41"/>
  <c r="J7" i="41"/>
  <c r="J8" i="41"/>
  <c r="J9" i="41"/>
  <c r="J10" i="41"/>
  <c r="J11" i="41"/>
  <c r="J12" i="41"/>
  <c r="J13" i="41"/>
  <c r="J14" i="41"/>
  <c r="D4" i="51"/>
  <c r="D3" i="51"/>
  <c r="I203" i="41"/>
  <c r="I119" i="41"/>
  <c r="J9" i="50" s="1"/>
  <c r="I9" i="50"/>
  <c r="G9" i="50"/>
  <c r="I55" i="41"/>
  <c r="I56" i="41"/>
  <c r="I57" i="41"/>
  <c r="I58" i="41"/>
  <c r="I59" i="41"/>
  <c r="I60" i="41"/>
  <c r="I61" i="41"/>
  <c r="I62" i="41"/>
  <c r="I63" i="41"/>
  <c r="I64" i="41"/>
  <c r="I65" i="41"/>
  <c r="I66" i="41"/>
  <c r="I3" i="41"/>
  <c r="I4" i="41"/>
  <c r="I5" i="41"/>
  <c r="I6" i="41"/>
  <c r="I7" i="41"/>
  <c r="I8" i="41"/>
  <c r="I9" i="41"/>
  <c r="I10" i="41"/>
  <c r="I11" i="41"/>
  <c r="I12" i="41"/>
  <c r="I13" i="41"/>
  <c r="I14" i="41"/>
  <c r="D8" i="50"/>
  <c r="D4" i="50"/>
  <c r="D3" i="50"/>
  <c r="H203" i="41"/>
  <c r="H119" i="41"/>
  <c r="J9" i="49" s="1"/>
  <c r="I9" i="49"/>
  <c r="G9" i="49"/>
  <c r="H55" i="41"/>
  <c r="H56" i="41"/>
  <c r="H57" i="41"/>
  <c r="H58" i="41"/>
  <c r="H59" i="41"/>
  <c r="H60" i="41"/>
  <c r="H61" i="41"/>
  <c r="H62" i="41"/>
  <c r="H63" i="41"/>
  <c r="H64" i="41"/>
  <c r="H65" i="41"/>
  <c r="H66" i="41"/>
  <c r="H3" i="41"/>
  <c r="H4" i="41"/>
  <c r="H5" i="41"/>
  <c r="H6" i="41"/>
  <c r="H7" i="41"/>
  <c r="H8" i="41"/>
  <c r="H9" i="41"/>
  <c r="H10" i="41"/>
  <c r="H11" i="41"/>
  <c r="H12" i="41"/>
  <c r="H13" i="41"/>
  <c r="H14" i="41"/>
  <c r="D8" i="49"/>
  <c r="D4" i="49"/>
  <c r="D3" i="49"/>
  <c r="G203" i="41"/>
  <c r="G119" i="41"/>
  <c r="J9" i="48" s="1"/>
  <c r="I9" i="48"/>
  <c r="G9" i="48"/>
  <c r="G55" i="41"/>
  <c r="G56" i="41"/>
  <c r="G57" i="41"/>
  <c r="G58" i="41"/>
  <c r="G59" i="41"/>
  <c r="G60" i="41"/>
  <c r="G61" i="41"/>
  <c r="G62" i="41"/>
  <c r="G63" i="41"/>
  <c r="G64" i="41"/>
  <c r="G65" i="41"/>
  <c r="G66" i="41"/>
  <c r="G3" i="41"/>
  <c r="G4" i="41"/>
  <c r="G5" i="41"/>
  <c r="G6" i="41"/>
  <c r="G7" i="41"/>
  <c r="G8" i="41"/>
  <c r="G9" i="41"/>
  <c r="G10" i="41"/>
  <c r="G11" i="41"/>
  <c r="G12" i="41"/>
  <c r="G13" i="41"/>
  <c r="G14" i="41"/>
  <c r="D8" i="48"/>
  <c r="D4" i="48"/>
  <c r="D3" i="48"/>
  <c r="F203" i="41"/>
  <c r="F119" i="41"/>
  <c r="J9" i="47" s="1"/>
  <c r="I9" i="47"/>
  <c r="G9" i="47"/>
  <c r="F55" i="41"/>
  <c r="F56" i="41"/>
  <c r="F57" i="41"/>
  <c r="F58" i="41"/>
  <c r="F59" i="41"/>
  <c r="F60" i="41"/>
  <c r="F61" i="41"/>
  <c r="F62" i="41"/>
  <c r="F63" i="41"/>
  <c r="F64" i="41"/>
  <c r="F65" i="41"/>
  <c r="F66" i="41"/>
  <c r="F3" i="41"/>
  <c r="F4" i="41"/>
  <c r="F5" i="41"/>
  <c r="F6" i="41"/>
  <c r="F7" i="41"/>
  <c r="F8" i="41"/>
  <c r="F9" i="41"/>
  <c r="F10" i="41"/>
  <c r="F11" i="41"/>
  <c r="F12" i="41"/>
  <c r="F13" i="41"/>
  <c r="F14" i="41"/>
  <c r="D4" i="47"/>
  <c r="D4" i="45"/>
  <c r="D3" i="47"/>
  <c r="D3" i="46"/>
  <c r="D4" i="46"/>
  <c r="E203" i="41"/>
  <c r="E119" i="41"/>
  <c r="E129" i="41" s="1"/>
  <c r="I9" i="46"/>
  <c r="E55" i="41"/>
  <c r="E56" i="41"/>
  <c r="E57" i="41"/>
  <c r="E58" i="41"/>
  <c r="E59" i="41"/>
  <c r="E60" i="41"/>
  <c r="E61" i="41"/>
  <c r="E62" i="41"/>
  <c r="E63" i="41"/>
  <c r="E64" i="41"/>
  <c r="E65" i="41"/>
  <c r="E66" i="41"/>
  <c r="E3" i="41"/>
  <c r="E4" i="41"/>
  <c r="E5" i="41"/>
  <c r="E6" i="41"/>
  <c r="E7" i="41"/>
  <c r="E8" i="41"/>
  <c r="E9" i="41"/>
  <c r="E10" i="41"/>
  <c r="E11" i="41"/>
  <c r="E12" i="41"/>
  <c r="E13" i="41"/>
  <c r="E14" i="41"/>
  <c r="D10" i="43"/>
  <c r="D8" i="45"/>
  <c r="G9" i="46"/>
  <c r="D8" i="46"/>
  <c r="D203" i="41"/>
  <c r="D119" i="41"/>
  <c r="J9" i="45" s="1"/>
  <c r="D55" i="41"/>
  <c r="D56" i="41"/>
  <c r="D57" i="41"/>
  <c r="D58" i="41"/>
  <c r="D59" i="41"/>
  <c r="D60" i="41"/>
  <c r="D61" i="41"/>
  <c r="D62" i="41"/>
  <c r="D63" i="41"/>
  <c r="D64" i="41"/>
  <c r="D65" i="41"/>
  <c r="D66" i="41"/>
  <c r="D3" i="41"/>
  <c r="D4" i="41"/>
  <c r="D5" i="41"/>
  <c r="D6" i="41"/>
  <c r="D7" i="41"/>
  <c r="D8" i="41"/>
  <c r="D9" i="41"/>
  <c r="D10" i="41"/>
  <c r="D11" i="41"/>
  <c r="D12" i="41"/>
  <c r="D13" i="41"/>
  <c r="D14" i="41"/>
  <c r="I9" i="45"/>
  <c r="G9" i="45"/>
  <c r="D3" i="45"/>
  <c r="C203" i="41"/>
  <c r="C119" i="41"/>
  <c r="J9" i="44" s="1"/>
  <c r="C55" i="41"/>
  <c r="C56" i="41"/>
  <c r="C57" i="41"/>
  <c r="C58" i="41"/>
  <c r="C59" i="41"/>
  <c r="C60" i="41"/>
  <c r="C61" i="41"/>
  <c r="C62" i="41"/>
  <c r="C63" i="41"/>
  <c r="C64" i="41"/>
  <c r="C65" i="41"/>
  <c r="C66" i="41"/>
  <c r="C3" i="41"/>
  <c r="C4" i="41"/>
  <c r="C5" i="41"/>
  <c r="C6" i="41"/>
  <c r="C7" i="41"/>
  <c r="C8" i="41"/>
  <c r="C9" i="41"/>
  <c r="C10" i="41"/>
  <c r="C11" i="41"/>
  <c r="C12" i="41"/>
  <c r="C13" i="41"/>
  <c r="C14" i="41"/>
  <c r="I9" i="44"/>
  <c r="G9" i="44"/>
  <c r="D3" i="43"/>
  <c r="O29" i="39"/>
  <c r="N29" i="39"/>
  <c r="M29" i="39"/>
  <c r="L29" i="39"/>
  <c r="K29" i="39"/>
  <c r="J29" i="39"/>
  <c r="I29" i="39"/>
  <c r="H29" i="39"/>
  <c r="G29" i="39"/>
  <c r="F29" i="39"/>
  <c r="E29" i="39"/>
  <c r="D29" i="39"/>
  <c r="D12" i="43"/>
  <c r="B203" i="41"/>
  <c r="B119" i="41"/>
  <c r="J9" i="43" s="1"/>
  <c r="B55" i="41"/>
  <c r="B56" i="41"/>
  <c r="B57" i="41"/>
  <c r="B58" i="41"/>
  <c r="B59" i="41"/>
  <c r="B60" i="41"/>
  <c r="B61" i="41"/>
  <c r="B62" i="41"/>
  <c r="B63" i="41"/>
  <c r="B64" i="41"/>
  <c r="B65" i="41"/>
  <c r="B66" i="41"/>
  <c r="I9" i="43"/>
  <c r="G9" i="43"/>
  <c r="D7" i="43"/>
  <c r="O63" i="39"/>
  <c r="N63" i="39"/>
  <c r="M63" i="39"/>
  <c r="L63" i="39"/>
  <c r="K63" i="39"/>
  <c r="J63" i="39"/>
  <c r="I63" i="39"/>
  <c r="H63" i="39"/>
  <c r="G63" i="39"/>
  <c r="F63" i="39"/>
  <c r="E63" i="39"/>
  <c r="D63" i="39"/>
  <c r="O62" i="39"/>
  <c r="N62" i="39"/>
  <c r="M62" i="39"/>
  <c r="L62" i="39"/>
  <c r="K62" i="39"/>
  <c r="J62" i="39"/>
  <c r="I62" i="39"/>
  <c r="H62" i="39"/>
  <c r="G62" i="39"/>
  <c r="F62" i="39"/>
  <c r="E62" i="39"/>
  <c r="D62" i="39"/>
  <c r="O61" i="39"/>
  <c r="N61" i="39"/>
  <c r="M61" i="39"/>
  <c r="L61" i="39"/>
  <c r="K61" i="39"/>
  <c r="J61" i="39"/>
  <c r="I61" i="39"/>
  <c r="H61" i="39"/>
  <c r="G61" i="39"/>
  <c r="F61" i="39"/>
  <c r="E61" i="39"/>
  <c r="D61" i="39"/>
  <c r="O60" i="39"/>
  <c r="N60" i="39"/>
  <c r="M60" i="39"/>
  <c r="L60" i="39"/>
  <c r="K60" i="39"/>
  <c r="J60" i="39"/>
  <c r="I60" i="39"/>
  <c r="H60" i="39"/>
  <c r="G60" i="39"/>
  <c r="F60" i="39"/>
  <c r="E60" i="39"/>
  <c r="D60" i="39"/>
  <c r="O59" i="39"/>
  <c r="N59" i="39"/>
  <c r="M59" i="39"/>
  <c r="L59" i="39"/>
  <c r="K59" i="39"/>
  <c r="J59" i="39"/>
  <c r="I59" i="39"/>
  <c r="H59" i="39"/>
  <c r="G59" i="39"/>
  <c r="F59" i="39"/>
  <c r="E59" i="39"/>
  <c r="D59" i="39"/>
  <c r="O58" i="39"/>
  <c r="N58" i="39"/>
  <c r="M58" i="39"/>
  <c r="L58" i="39"/>
  <c r="K58" i="39"/>
  <c r="J58" i="39"/>
  <c r="I58" i="39"/>
  <c r="H58" i="39"/>
  <c r="G58" i="39"/>
  <c r="F58" i="39"/>
  <c r="E58" i="39"/>
  <c r="D58" i="39"/>
  <c r="O57" i="39"/>
  <c r="N57" i="39"/>
  <c r="M57" i="39"/>
  <c r="L57" i="39"/>
  <c r="K57" i="39"/>
  <c r="J57" i="39"/>
  <c r="I57" i="39"/>
  <c r="H57" i="39"/>
  <c r="G57" i="39"/>
  <c r="F57" i="39"/>
  <c r="E57" i="39"/>
  <c r="D57" i="39"/>
  <c r="O56" i="39"/>
  <c r="N56" i="39"/>
  <c r="M56" i="39"/>
  <c r="L56" i="39"/>
  <c r="K56" i="39"/>
  <c r="J56" i="39"/>
  <c r="I56" i="39"/>
  <c r="H56" i="39"/>
  <c r="G56" i="39"/>
  <c r="F56" i="39"/>
  <c r="E56" i="39"/>
  <c r="D56" i="39"/>
  <c r="O55" i="39"/>
  <c r="N55" i="39"/>
  <c r="M55" i="39"/>
  <c r="L55" i="39"/>
  <c r="K55" i="39"/>
  <c r="J55" i="39"/>
  <c r="I55" i="39"/>
  <c r="H55" i="39"/>
  <c r="G55" i="39"/>
  <c r="F55" i="39"/>
  <c r="E55" i="39"/>
  <c r="D55" i="39"/>
  <c r="O28" i="39"/>
  <c r="N28" i="39"/>
  <c r="M28" i="39"/>
  <c r="L28" i="39"/>
  <c r="K28" i="39"/>
  <c r="J28" i="39"/>
  <c r="I28" i="39"/>
  <c r="H28" i="39"/>
  <c r="G28" i="39"/>
  <c r="F28" i="39"/>
  <c r="E28" i="39"/>
  <c r="D28" i="39"/>
  <c r="O27" i="39"/>
  <c r="N27" i="39"/>
  <c r="M27" i="39"/>
  <c r="L27" i="39"/>
  <c r="K27" i="39"/>
  <c r="J27" i="39"/>
  <c r="I27" i="39"/>
  <c r="H27" i="39"/>
  <c r="G27" i="39"/>
  <c r="F27" i="39"/>
  <c r="E27" i="39"/>
  <c r="D27" i="39"/>
  <c r="O26" i="39"/>
  <c r="N26" i="39"/>
  <c r="M26" i="39"/>
  <c r="L26" i="39"/>
  <c r="K26" i="39"/>
  <c r="J26" i="39"/>
  <c r="I26" i="39"/>
  <c r="H26" i="39"/>
  <c r="G26" i="39"/>
  <c r="F26" i="39"/>
  <c r="E26" i="39"/>
  <c r="D26" i="39"/>
  <c r="O25" i="39"/>
  <c r="N25" i="39"/>
  <c r="M25" i="39"/>
  <c r="L25" i="39"/>
  <c r="K25" i="39"/>
  <c r="J25" i="39"/>
  <c r="I25" i="39"/>
  <c r="H25" i="39"/>
  <c r="G25" i="39"/>
  <c r="F25" i="39"/>
  <c r="E25" i="39"/>
  <c r="D25" i="39"/>
  <c r="O24" i="39"/>
  <c r="N24" i="39"/>
  <c r="M24" i="39"/>
  <c r="L24" i="39"/>
  <c r="K24" i="39"/>
  <c r="J24" i="39"/>
  <c r="I24" i="39"/>
  <c r="H24" i="39"/>
  <c r="G24" i="39"/>
  <c r="F24" i="39"/>
  <c r="E24" i="39"/>
  <c r="D24" i="39"/>
  <c r="O23" i="39"/>
  <c r="N23" i="39"/>
  <c r="M23" i="39"/>
  <c r="L23" i="39"/>
  <c r="K23" i="39"/>
  <c r="J23" i="39"/>
  <c r="I23" i="39"/>
  <c r="H23" i="39"/>
  <c r="G23" i="39"/>
  <c r="F23" i="39"/>
  <c r="E23" i="39"/>
  <c r="D23" i="39"/>
  <c r="O22" i="39"/>
  <c r="N22" i="39"/>
  <c r="M22" i="39"/>
  <c r="L22" i="39"/>
  <c r="K22" i="39"/>
  <c r="J22" i="39"/>
  <c r="I22" i="39"/>
  <c r="H22" i="39"/>
  <c r="G22" i="39"/>
  <c r="F22" i="39"/>
  <c r="E22" i="39"/>
  <c r="D22" i="39"/>
  <c r="O21" i="39"/>
  <c r="N21" i="39"/>
  <c r="M21" i="39"/>
  <c r="L21" i="39"/>
  <c r="K21" i="39"/>
  <c r="J21" i="39"/>
  <c r="I21" i="39"/>
  <c r="H21" i="39"/>
  <c r="G21" i="39"/>
  <c r="F21" i="39"/>
  <c r="E21" i="39"/>
  <c r="D21" i="39"/>
  <c r="P79" i="39"/>
  <c r="P46" i="39"/>
  <c r="P45" i="39"/>
  <c r="P44" i="39"/>
  <c r="P43" i="39"/>
  <c r="P42" i="39"/>
  <c r="P41" i="39"/>
  <c r="P40" i="39"/>
  <c r="P38" i="39"/>
  <c r="P80" i="39"/>
  <c r="P78" i="39"/>
  <c r="P77" i="39"/>
  <c r="P76" i="39"/>
  <c r="P75" i="39"/>
  <c r="P74" i="39"/>
  <c r="P73" i="39"/>
  <c r="P72" i="39"/>
  <c r="P39" i="39"/>
  <c r="B3" i="41"/>
  <c r="B4" i="41"/>
  <c r="B5" i="41"/>
  <c r="B6" i="41"/>
  <c r="B7" i="41"/>
  <c r="B8" i="41"/>
  <c r="B9" i="41"/>
  <c r="B10" i="41"/>
  <c r="B11" i="41"/>
  <c r="B12" i="41"/>
  <c r="B13" i="41"/>
  <c r="B14" i="41"/>
  <c r="M254" i="41"/>
  <c r="L254" i="41"/>
  <c r="K254" i="41"/>
  <c r="I254" i="41"/>
  <c r="H254" i="41"/>
  <c r="G254" i="41"/>
  <c r="F254" i="41"/>
  <c r="E254" i="41"/>
  <c r="D254" i="41"/>
  <c r="C254" i="41"/>
  <c r="B254" i="41"/>
  <c r="M253" i="41"/>
  <c r="L253" i="41"/>
  <c r="K253" i="41"/>
  <c r="I253" i="41"/>
  <c r="H253" i="41"/>
  <c r="G253" i="41"/>
  <c r="F253" i="41"/>
  <c r="E253" i="41"/>
  <c r="D253" i="41"/>
  <c r="C253" i="41"/>
  <c r="B253" i="41"/>
  <c r="M252" i="41"/>
  <c r="L252" i="41"/>
  <c r="K252" i="41"/>
  <c r="I252" i="41"/>
  <c r="H252" i="41"/>
  <c r="G252" i="41"/>
  <c r="F252" i="41"/>
  <c r="E252" i="41"/>
  <c r="D252" i="41"/>
  <c r="C252" i="41"/>
  <c r="B252" i="41"/>
  <c r="M251" i="41"/>
  <c r="L251" i="41"/>
  <c r="K251" i="41"/>
  <c r="I251" i="41"/>
  <c r="H251" i="41"/>
  <c r="G251" i="41"/>
  <c r="F251" i="41"/>
  <c r="E251" i="41"/>
  <c r="D251" i="41"/>
  <c r="C251" i="41"/>
  <c r="B251" i="41"/>
  <c r="M250" i="41"/>
  <c r="L250" i="41"/>
  <c r="K250" i="41"/>
  <c r="I250" i="41"/>
  <c r="H250" i="41"/>
  <c r="G250" i="41"/>
  <c r="F250" i="41"/>
  <c r="E250" i="41"/>
  <c r="D250" i="41"/>
  <c r="C250" i="41"/>
  <c r="B250" i="41"/>
  <c r="M249" i="41"/>
  <c r="L249" i="41"/>
  <c r="K249" i="41"/>
  <c r="I249" i="41"/>
  <c r="H249" i="41"/>
  <c r="G249" i="41"/>
  <c r="F249" i="41"/>
  <c r="E249" i="41"/>
  <c r="D249" i="41"/>
  <c r="C249" i="41"/>
  <c r="B249" i="41"/>
  <c r="M248" i="41"/>
  <c r="L248" i="41"/>
  <c r="K248" i="41"/>
  <c r="I248" i="41"/>
  <c r="H248" i="41"/>
  <c r="G248" i="41"/>
  <c r="F248" i="41"/>
  <c r="E248" i="41"/>
  <c r="D248" i="41"/>
  <c r="C248" i="41"/>
  <c r="B248" i="41"/>
  <c r="M247" i="41"/>
  <c r="L247" i="41"/>
  <c r="K247" i="41"/>
  <c r="I247" i="41"/>
  <c r="H247" i="41"/>
  <c r="G247" i="41"/>
  <c r="F247" i="41"/>
  <c r="E247" i="41"/>
  <c r="D247" i="41"/>
  <c r="C247" i="41"/>
  <c r="B247" i="41"/>
  <c r="M246" i="41"/>
  <c r="L246" i="41"/>
  <c r="K246" i="41"/>
  <c r="I246" i="41"/>
  <c r="H246" i="41"/>
  <c r="G246" i="41"/>
  <c r="F246" i="41"/>
  <c r="E246" i="41"/>
  <c r="D246" i="41"/>
  <c r="C246" i="41"/>
  <c r="B246" i="41"/>
  <c r="M245" i="41"/>
  <c r="L245" i="41"/>
  <c r="K245" i="41"/>
  <c r="I245" i="41"/>
  <c r="H245" i="41"/>
  <c r="G245" i="41"/>
  <c r="F245" i="41"/>
  <c r="E245" i="41"/>
  <c r="D245" i="41"/>
  <c r="C245" i="41"/>
  <c r="B245" i="41"/>
  <c r="M244" i="41"/>
  <c r="L244" i="41"/>
  <c r="K244" i="41"/>
  <c r="I244" i="41"/>
  <c r="H244" i="41"/>
  <c r="G244" i="41"/>
  <c r="F244" i="41"/>
  <c r="E244" i="41"/>
  <c r="D244" i="41"/>
  <c r="C244" i="41"/>
  <c r="B244" i="41"/>
  <c r="L203" i="41"/>
  <c r="G237" i="41"/>
  <c r="K236" i="41"/>
  <c r="B236" i="41"/>
  <c r="I235" i="41"/>
  <c r="M203" i="41"/>
  <c r="K237" i="41"/>
  <c r="I236" i="41"/>
  <c r="G238" i="41"/>
  <c r="D235" i="41"/>
  <c r="B235" i="41"/>
  <c r="K235" i="41"/>
  <c r="G236" i="41"/>
  <c r="I238" i="41"/>
  <c r="C235" i="41"/>
  <c r="G235" i="41"/>
  <c r="I237" i="41"/>
  <c r="B238" i="41"/>
  <c r="K238" i="41"/>
  <c r="D238" i="41"/>
  <c r="B237" i="41"/>
  <c r="K16" i="39"/>
  <c r="D4" i="43"/>
  <c r="N164" i="41"/>
  <c r="O164" i="41" s="1"/>
  <c r="N162" i="41"/>
  <c r="O162" i="41" s="1"/>
  <c r="N161" i="41"/>
  <c r="O161" i="41" s="1"/>
  <c r="N160" i="41"/>
  <c r="O160" i="41" s="1"/>
  <c r="N159" i="41"/>
  <c r="O159" i="41" s="1"/>
  <c r="N158" i="41"/>
  <c r="O158" i="41" s="1"/>
  <c r="N157" i="41"/>
  <c r="O157" i="41" s="1"/>
  <c r="N163" i="41"/>
  <c r="O163" i="41" s="1"/>
  <c r="Q16" i="39"/>
  <c r="P16" i="39"/>
  <c r="N120" i="41"/>
  <c r="B149" i="41"/>
  <c r="J143" i="41"/>
  <c r="N121" i="41"/>
  <c r="L118" i="41"/>
  <c r="H118" i="41"/>
  <c r="F142" i="41"/>
  <c r="D118" i="41"/>
  <c r="M66" i="41"/>
  <c r="L66" i="41"/>
  <c r="K66" i="41"/>
  <c r="M65" i="41"/>
  <c r="L65" i="41"/>
  <c r="K65" i="41"/>
  <c r="M64" i="41"/>
  <c r="L64" i="41"/>
  <c r="K64" i="41"/>
  <c r="M63" i="41"/>
  <c r="L63" i="41"/>
  <c r="K63" i="41"/>
  <c r="M62" i="41"/>
  <c r="L62" i="41"/>
  <c r="K62" i="41"/>
  <c r="M61" i="41"/>
  <c r="L61" i="41"/>
  <c r="K61" i="41"/>
  <c r="M60" i="41"/>
  <c r="L60" i="41"/>
  <c r="K60" i="41"/>
  <c r="M59" i="41"/>
  <c r="L59" i="41"/>
  <c r="K59" i="41"/>
  <c r="M58" i="41"/>
  <c r="L58" i="41"/>
  <c r="K58" i="41"/>
  <c r="M57" i="41"/>
  <c r="L57" i="41"/>
  <c r="K57" i="41"/>
  <c r="M56" i="41"/>
  <c r="L56" i="41"/>
  <c r="K56" i="41"/>
  <c r="M55" i="41"/>
  <c r="L55" i="41"/>
  <c r="K55" i="41"/>
  <c r="N69" i="41"/>
  <c r="AB67" i="41"/>
  <c r="AA67" i="41"/>
  <c r="Z67" i="41"/>
  <c r="Y67" i="41"/>
  <c r="X67" i="41"/>
  <c r="W67" i="41"/>
  <c r="V67" i="41"/>
  <c r="U67" i="41"/>
  <c r="T67" i="41"/>
  <c r="S67" i="41"/>
  <c r="R67" i="41"/>
  <c r="Q67" i="41"/>
  <c r="AC66" i="41"/>
  <c r="AC65" i="41"/>
  <c r="AC64" i="41"/>
  <c r="AC63" i="41"/>
  <c r="AC62" i="41"/>
  <c r="AC61" i="41"/>
  <c r="AC60" i="41"/>
  <c r="AC59" i="41"/>
  <c r="AC58" i="41"/>
  <c r="AC57" i="41"/>
  <c r="AC56" i="41"/>
  <c r="AC55" i="41"/>
  <c r="F96" i="41"/>
  <c r="H97" i="41"/>
  <c r="J99" i="41"/>
  <c r="B143" i="41"/>
  <c r="F144" i="41"/>
  <c r="J145" i="41"/>
  <c r="B146" i="41"/>
  <c r="F147" i="41"/>
  <c r="B148" i="41"/>
  <c r="J148" i="41"/>
  <c r="J149" i="41"/>
  <c r="B151" i="41"/>
  <c r="F151" i="41"/>
  <c r="B152" i="41"/>
  <c r="J152" i="41"/>
  <c r="B145" i="41"/>
  <c r="F150" i="41"/>
  <c r="F146" i="41"/>
  <c r="J151" i="41"/>
  <c r="F143" i="41"/>
  <c r="B144" i="41"/>
  <c r="J144" i="41"/>
  <c r="B147" i="41"/>
  <c r="F148" i="41"/>
  <c r="B150" i="41"/>
  <c r="F152" i="41"/>
  <c r="J147" i="41"/>
  <c r="D142" i="41"/>
  <c r="H142" i="41"/>
  <c r="L142" i="41"/>
  <c r="D143" i="41"/>
  <c r="H143" i="41"/>
  <c r="L143" i="41"/>
  <c r="D144" i="41"/>
  <c r="H144" i="41"/>
  <c r="L144" i="41"/>
  <c r="D145" i="41"/>
  <c r="H145" i="41"/>
  <c r="L145" i="41"/>
  <c r="D146" i="41"/>
  <c r="H146" i="41"/>
  <c r="L146" i="41"/>
  <c r="D147" i="41"/>
  <c r="H147" i="41"/>
  <c r="L147" i="41"/>
  <c r="D148" i="41"/>
  <c r="H148" i="41"/>
  <c r="L148" i="41"/>
  <c r="D149" i="41"/>
  <c r="H149" i="41"/>
  <c r="L149" i="41"/>
  <c r="D150" i="41"/>
  <c r="H150" i="41"/>
  <c r="L150" i="41"/>
  <c r="D151" i="41"/>
  <c r="H151" i="41"/>
  <c r="L151" i="41"/>
  <c r="D152" i="41"/>
  <c r="H152" i="41"/>
  <c r="L152" i="41"/>
  <c r="J142" i="41"/>
  <c r="F145" i="41"/>
  <c r="J146" i="41"/>
  <c r="F149" i="41"/>
  <c r="J150" i="41"/>
  <c r="K118" i="41"/>
  <c r="N109" i="41"/>
  <c r="N113" i="41"/>
  <c r="N117" i="41"/>
  <c r="G143" i="41"/>
  <c r="E145" i="41"/>
  <c r="K147" i="41"/>
  <c r="I149" i="41"/>
  <c r="G151" i="41"/>
  <c r="K151" i="41"/>
  <c r="I142" i="41"/>
  <c r="C144" i="41"/>
  <c r="K144" i="41"/>
  <c r="I146" i="41"/>
  <c r="G148" i="41"/>
  <c r="N114" i="41"/>
  <c r="E150" i="41"/>
  <c r="M150" i="41"/>
  <c r="C152" i="41"/>
  <c r="K152" i="41"/>
  <c r="C142" i="41"/>
  <c r="G142" i="41"/>
  <c r="K142" i="41"/>
  <c r="N108" i="41"/>
  <c r="E144" i="41"/>
  <c r="I144" i="41"/>
  <c r="M144" i="41"/>
  <c r="C146" i="41"/>
  <c r="G146" i="41"/>
  <c r="K146" i="41"/>
  <c r="N112" i="41"/>
  <c r="E148" i="41"/>
  <c r="I148" i="41"/>
  <c r="M148" i="41"/>
  <c r="C150" i="41"/>
  <c r="G150" i="41"/>
  <c r="K150" i="41"/>
  <c r="N116" i="41"/>
  <c r="E152" i="41"/>
  <c r="I152" i="41"/>
  <c r="M152" i="41"/>
  <c r="C143" i="41"/>
  <c r="K143" i="41"/>
  <c r="I145" i="41"/>
  <c r="M145" i="41"/>
  <c r="C147" i="41"/>
  <c r="G147" i="41"/>
  <c r="E149" i="41"/>
  <c r="M149" i="41"/>
  <c r="C151" i="41"/>
  <c r="K119" i="41"/>
  <c r="J9" i="52" s="1"/>
  <c r="B118" i="41"/>
  <c r="N106" i="41"/>
  <c r="F118" i="41"/>
  <c r="J118" i="41"/>
  <c r="E142" i="41"/>
  <c r="M142" i="41"/>
  <c r="G144" i="41"/>
  <c r="N110" i="41"/>
  <c r="E146" i="41"/>
  <c r="M146" i="41"/>
  <c r="C148" i="41"/>
  <c r="K148" i="41"/>
  <c r="I150" i="41"/>
  <c r="G152" i="41"/>
  <c r="C118" i="41"/>
  <c r="M119" i="41"/>
  <c r="J9" i="54" s="1"/>
  <c r="N107" i="41"/>
  <c r="E143" i="41"/>
  <c r="I143" i="41"/>
  <c r="M143" i="41"/>
  <c r="C145" i="41"/>
  <c r="G145" i="41"/>
  <c r="K145" i="41"/>
  <c r="N111" i="41"/>
  <c r="E147" i="41"/>
  <c r="I147" i="41"/>
  <c r="M147" i="41"/>
  <c r="C149" i="41"/>
  <c r="G149" i="41"/>
  <c r="K149" i="41"/>
  <c r="N115" i="41"/>
  <c r="E151" i="41"/>
  <c r="I151" i="41"/>
  <c r="M151" i="41"/>
  <c r="E118" i="41"/>
  <c r="M118" i="41"/>
  <c r="B142" i="41"/>
  <c r="L119" i="41"/>
  <c r="J9" i="53" s="1"/>
  <c r="D96" i="41"/>
  <c r="J90" i="41"/>
  <c r="J98" i="41"/>
  <c r="H94" i="41"/>
  <c r="J93" i="41"/>
  <c r="F91" i="41"/>
  <c r="G91" i="41"/>
  <c r="E93" i="41"/>
  <c r="I97" i="41"/>
  <c r="G99" i="41"/>
  <c r="I90" i="41"/>
  <c r="E94" i="41"/>
  <c r="I98" i="41"/>
  <c r="G94" i="41"/>
  <c r="M14" i="41"/>
  <c r="L14" i="41"/>
  <c r="K14" i="41"/>
  <c r="M13" i="41"/>
  <c r="L13" i="41"/>
  <c r="K13" i="41"/>
  <c r="M12" i="41"/>
  <c r="L12" i="41"/>
  <c r="K12" i="41"/>
  <c r="M11" i="41"/>
  <c r="L11" i="41"/>
  <c r="K11" i="41"/>
  <c r="M10" i="41"/>
  <c r="L10" i="41"/>
  <c r="K10" i="41"/>
  <c r="M9" i="41"/>
  <c r="L9" i="41"/>
  <c r="K9" i="41"/>
  <c r="M8" i="41"/>
  <c r="L8" i="41"/>
  <c r="K8" i="41"/>
  <c r="M7" i="41"/>
  <c r="L7" i="41"/>
  <c r="K7" i="41"/>
  <c r="M6" i="41"/>
  <c r="L6" i="41"/>
  <c r="K6" i="41"/>
  <c r="M5" i="41"/>
  <c r="L5" i="41"/>
  <c r="K5" i="41"/>
  <c r="M4" i="41"/>
  <c r="L4" i="41"/>
  <c r="K4" i="41"/>
  <c r="M3" i="41"/>
  <c r="L3" i="41"/>
  <c r="K3" i="41"/>
  <c r="AB15" i="41"/>
  <c r="AA15" i="41"/>
  <c r="Z15" i="41"/>
  <c r="Y15" i="41"/>
  <c r="X15" i="41"/>
  <c r="W15" i="41"/>
  <c r="V15" i="41"/>
  <c r="U15" i="41"/>
  <c r="T15" i="41"/>
  <c r="S15" i="41"/>
  <c r="R15" i="41"/>
  <c r="Q15" i="41"/>
  <c r="AC14" i="41"/>
  <c r="AC13" i="41"/>
  <c r="AC12" i="41"/>
  <c r="AC11" i="41"/>
  <c r="AC10" i="41"/>
  <c r="AC9" i="41"/>
  <c r="AC8" i="41"/>
  <c r="AC7" i="41"/>
  <c r="AC6" i="41"/>
  <c r="AC5" i="41"/>
  <c r="AC4" i="41"/>
  <c r="AC3" i="41"/>
  <c r="F41" i="41"/>
  <c r="C135" i="41"/>
  <c r="C131" i="41"/>
  <c r="C127" i="41"/>
  <c r="C125" i="41"/>
  <c r="C133" i="41"/>
  <c r="C129" i="41"/>
  <c r="C134" i="41"/>
  <c r="C130" i="41"/>
  <c r="C126" i="41"/>
  <c r="C136" i="41"/>
  <c r="C132" i="41"/>
  <c r="C128" i="41"/>
  <c r="H132" i="41"/>
  <c r="H128" i="41"/>
  <c r="H130" i="41"/>
  <c r="H127" i="41"/>
  <c r="H133" i="41"/>
  <c r="E126" i="41"/>
  <c r="E127" i="41"/>
  <c r="D127" i="41"/>
  <c r="J130" i="41"/>
  <c r="J127" i="41"/>
  <c r="J132" i="41"/>
  <c r="J133" i="41"/>
  <c r="F40" i="41"/>
  <c r="F43" i="41"/>
  <c r="J43" i="41"/>
  <c r="J44" i="41"/>
  <c r="F48" i="41"/>
  <c r="D41" i="41"/>
  <c r="C40" i="41"/>
  <c r="G44" i="41"/>
  <c r="G45" i="41"/>
  <c r="C48" i="41"/>
  <c r="E38" i="41"/>
  <c r="E46" i="41"/>
  <c r="D40" i="41"/>
  <c r="H40" i="41"/>
  <c r="F42" i="41"/>
  <c r="J42" i="41"/>
  <c r="G43" i="41"/>
  <c r="E45" i="41"/>
  <c r="D48" i="41"/>
  <c r="H48" i="41"/>
  <c r="R16" i="39"/>
  <c r="O16" i="39"/>
  <c r="D7" i="54"/>
  <c r="D7" i="53"/>
  <c r="D7" i="50"/>
  <c r="D7" i="49"/>
  <c r="D7" i="48"/>
  <c r="D7" i="47"/>
  <c r="D7" i="46"/>
  <c r="D7" i="45"/>
  <c r="M16" i="39"/>
  <c r="S16" i="39"/>
  <c r="D16" i="39"/>
  <c r="M235" i="41" l="1"/>
  <c r="M234" i="41"/>
  <c r="M228" i="41"/>
  <c r="M229" i="41"/>
  <c r="M232" i="41"/>
  <c r="M230" i="41"/>
  <c r="M233" i="41"/>
  <c r="M231" i="41"/>
  <c r="M227" i="41"/>
  <c r="B232" i="41"/>
  <c r="B233" i="41"/>
  <c r="B227" i="41"/>
  <c r="B228" i="41"/>
  <c r="B230" i="41"/>
  <c r="B231" i="41"/>
  <c r="B239" i="41" s="1"/>
  <c r="B234" i="41"/>
  <c r="B229" i="41"/>
  <c r="D234" i="41"/>
  <c r="D232" i="41"/>
  <c r="D229" i="41"/>
  <c r="D233" i="41"/>
  <c r="D228" i="41"/>
  <c r="D231" i="41"/>
  <c r="D227" i="41"/>
  <c r="D230" i="41"/>
  <c r="E231" i="41"/>
  <c r="E227" i="41"/>
  <c r="E234" i="41"/>
  <c r="E229" i="41"/>
  <c r="E228" i="41"/>
  <c r="E232" i="41"/>
  <c r="E233" i="41"/>
  <c r="E230" i="41"/>
  <c r="C236" i="41"/>
  <c r="C229" i="41"/>
  <c r="C231" i="41"/>
  <c r="C232" i="41"/>
  <c r="C227" i="41"/>
  <c r="C230" i="41"/>
  <c r="C233" i="41"/>
  <c r="C228" i="41"/>
  <c r="C234" i="41"/>
  <c r="K232" i="41"/>
  <c r="K227" i="41"/>
  <c r="K234" i="41"/>
  <c r="K229" i="41"/>
  <c r="K230" i="41"/>
  <c r="K228" i="41"/>
  <c r="K239" i="41" s="1"/>
  <c r="K233" i="41"/>
  <c r="K231" i="41"/>
  <c r="L229" i="41"/>
  <c r="L232" i="41"/>
  <c r="L231" i="41"/>
  <c r="L234" i="41"/>
  <c r="L227" i="41"/>
  <c r="L233" i="41"/>
  <c r="L228" i="41"/>
  <c r="L230" i="41"/>
  <c r="F228" i="41"/>
  <c r="F232" i="41"/>
  <c r="F227" i="41"/>
  <c r="F231" i="41"/>
  <c r="F234" i="41"/>
  <c r="F229" i="41"/>
  <c r="F230" i="41"/>
  <c r="F233" i="41"/>
  <c r="G233" i="41"/>
  <c r="G232" i="41"/>
  <c r="G228" i="41"/>
  <c r="G234" i="41"/>
  <c r="G231" i="41"/>
  <c r="G229" i="41"/>
  <c r="G230" i="41"/>
  <c r="G227" i="41"/>
  <c r="H230" i="41"/>
  <c r="H232" i="41"/>
  <c r="H227" i="41"/>
  <c r="H233" i="41"/>
  <c r="H234" i="41"/>
  <c r="H229" i="41"/>
  <c r="H228" i="41"/>
  <c r="H231" i="41"/>
  <c r="I227" i="41"/>
  <c r="I232" i="41"/>
  <c r="I230" i="41"/>
  <c r="I231" i="41"/>
  <c r="I233" i="41"/>
  <c r="I229" i="41"/>
  <c r="I228" i="41"/>
  <c r="I234" i="41"/>
  <c r="D130" i="41"/>
  <c r="D126" i="41"/>
  <c r="D133" i="41"/>
  <c r="H131" i="41"/>
  <c r="H136" i="41"/>
  <c r="D128" i="41"/>
  <c r="H135" i="41"/>
  <c r="D125" i="41"/>
  <c r="D136" i="41"/>
  <c r="H126" i="41"/>
  <c r="D131" i="41"/>
  <c r="H134" i="41"/>
  <c r="D135" i="41"/>
  <c r="H129" i="41"/>
  <c r="H125" i="41"/>
  <c r="D132" i="41"/>
  <c r="D134" i="41"/>
  <c r="B136" i="41"/>
  <c r="D129" i="41"/>
  <c r="E131" i="41"/>
  <c r="E135" i="41"/>
  <c r="E125" i="41"/>
  <c r="E133" i="41"/>
  <c r="E128" i="41"/>
  <c r="E136" i="41"/>
  <c r="D97" i="41"/>
  <c r="B93" i="41"/>
  <c r="I42" i="41"/>
  <c r="I44" i="41"/>
  <c r="T16" i="39"/>
  <c r="F99" i="41"/>
  <c r="I41" i="41"/>
  <c r="B98" i="41"/>
  <c r="L97" i="41"/>
  <c r="M39" i="41"/>
  <c r="F47" i="41"/>
  <c r="G136" i="41"/>
  <c r="G127" i="41"/>
  <c r="G131" i="41"/>
  <c r="G135" i="41"/>
  <c r="G130" i="41"/>
  <c r="G134" i="41"/>
  <c r="G126" i="41"/>
  <c r="G129" i="41"/>
  <c r="G125" i="41"/>
  <c r="G133" i="41"/>
  <c r="G128" i="41"/>
  <c r="G132" i="41"/>
  <c r="L92" i="41"/>
  <c r="K95" i="41"/>
  <c r="I43" i="41"/>
  <c r="G42" i="41"/>
  <c r="D47" i="41"/>
  <c r="B48" i="41"/>
  <c r="B41" i="41"/>
  <c r="D39" i="41"/>
  <c r="K90" i="41"/>
  <c r="M92" i="41"/>
  <c r="L95" i="41"/>
  <c r="M97" i="41"/>
  <c r="L100" i="41"/>
  <c r="C47" i="41"/>
  <c r="C39" i="41"/>
  <c r="C95" i="41"/>
  <c r="I48" i="41"/>
  <c r="I40" i="41"/>
  <c r="I96" i="41"/>
  <c r="J41" i="41"/>
  <c r="J97" i="41"/>
  <c r="M96" i="41"/>
  <c r="D239" i="41"/>
  <c r="H45" i="41"/>
  <c r="H93" i="41"/>
  <c r="C237" i="41"/>
  <c r="G98" i="41"/>
  <c r="G90" i="41"/>
  <c r="D236" i="41"/>
  <c r="D237" i="41"/>
  <c r="F39" i="41"/>
  <c r="F95" i="41"/>
  <c r="C238" i="41"/>
  <c r="N167" i="41"/>
  <c r="O167" i="41" s="1"/>
  <c r="K100" i="41"/>
  <c r="H90" i="41"/>
  <c r="B94" i="41"/>
  <c r="K129" i="41"/>
  <c r="J128" i="41"/>
  <c r="J134" i="41"/>
  <c r="J136" i="41"/>
  <c r="B97" i="41"/>
  <c r="C43" i="41"/>
  <c r="C99" i="41"/>
  <c r="C91" i="41"/>
  <c r="G46" i="41"/>
  <c r="G38" i="41"/>
  <c r="H41" i="41"/>
  <c r="J131" i="41"/>
  <c r="L40" i="41"/>
  <c r="J125" i="41"/>
  <c r="J135" i="41"/>
  <c r="J129" i="41"/>
  <c r="J126" i="41"/>
  <c r="B99" i="41"/>
  <c r="B91" i="41"/>
  <c r="D93" i="41"/>
  <c r="L43" i="41"/>
  <c r="K46" i="41"/>
  <c r="M48" i="41"/>
  <c r="B47" i="41"/>
  <c r="C45" i="41"/>
  <c r="P59" i="39"/>
  <c r="P63" i="39"/>
  <c r="M130" i="41"/>
  <c r="P57" i="39"/>
  <c r="P61" i="39"/>
  <c r="L91" i="41"/>
  <c r="K94" i="41"/>
  <c r="I126" i="41"/>
  <c r="I135" i="41"/>
  <c r="K42" i="41"/>
  <c r="P55" i="39"/>
  <c r="B40" i="41"/>
  <c r="B46" i="41"/>
  <c r="J45" i="41"/>
  <c r="L93" i="41"/>
  <c r="L98" i="41"/>
  <c r="K96" i="41"/>
  <c r="P21" i="39"/>
  <c r="P23" i="39"/>
  <c r="P25" i="39"/>
  <c r="P27" i="39"/>
  <c r="P56" i="39"/>
  <c r="P58" i="39"/>
  <c r="P60" i="39"/>
  <c r="P62" i="39"/>
  <c r="P22" i="39"/>
  <c r="P24" i="39"/>
  <c r="P26" i="39"/>
  <c r="K99" i="41"/>
  <c r="B38" i="41"/>
  <c r="B43" i="41"/>
  <c r="D44" i="41"/>
  <c r="L38" i="41"/>
  <c r="M43" i="41"/>
  <c r="L46" i="41"/>
  <c r="K40" i="41"/>
  <c r="M42" i="41"/>
  <c r="L45" i="41"/>
  <c r="K48" i="41"/>
  <c r="M134" i="41"/>
  <c r="K133" i="41"/>
  <c r="M127" i="41"/>
  <c r="M131" i="41"/>
  <c r="K125" i="41"/>
  <c r="M135" i="41"/>
  <c r="M128" i="41"/>
  <c r="K128" i="41"/>
  <c r="K136" i="41"/>
  <c r="M125" i="41"/>
  <c r="M132" i="41"/>
  <c r="K132" i="41"/>
  <c r="K127" i="41"/>
  <c r="M129" i="41"/>
  <c r="M136" i="41"/>
  <c r="K126" i="41"/>
  <c r="K131" i="41"/>
  <c r="M133" i="41"/>
  <c r="K130" i="41"/>
  <c r="K135" i="41"/>
  <c r="M126" i="41"/>
  <c r="K134" i="41"/>
  <c r="L39" i="41"/>
  <c r="M44" i="41"/>
  <c r="M38" i="41"/>
  <c r="L41" i="41"/>
  <c r="K41" i="41"/>
  <c r="B96" i="41"/>
  <c r="L94" i="41"/>
  <c r="C46" i="41"/>
  <c r="L42" i="41"/>
  <c r="C10" i="59"/>
  <c r="N16" i="39"/>
  <c r="C9" i="59"/>
  <c r="F135" i="41"/>
  <c r="F126" i="41"/>
  <c r="M237" i="41"/>
  <c r="M236" i="41"/>
  <c r="L99" i="41"/>
  <c r="B45" i="41"/>
  <c r="C94" i="41"/>
  <c r="D46" i="41"/>
  <c r="D38" i="41"/>
  <c r="F46" i="41"/>
  <c r="F38" i="41"/>
  <c r="G41" i="41"/>
  <c r="H44" i="41"/>
  <c r="I47" i="41"/>
  <c r="I39" i="41"/>
  <c r="I95" i="41"/>
  <c r="J48" i="41"/>
  <c r="J40" i="41"/>
  <c r="C38" i="41"/>
  <c r="K47" i="41"/>
  <c r="L90" i="41"/>
  <c r="M95" i="41"/>
  <c r="K98" i="41"/>
  <c r="F125" i="41"/>
  <c r="F130" i="41"/>
  <c r="F129" i="41"/>
  <c r="F134" i="41"/>
  <c r="F133" i="41"/>
  <c r="F128" i="41"/>
  <c r="F132" i="41"/>
  <c r="F136" i="41"/>
  <c r="F127" i="41"/>
  <c r="F131" i="41"/>
  <c r="I130" i="41"/>
  <c r="I125" i="41"/>
  <c r="I239" i="41"/>
  <c r="B44" i="41"/>
  <c r="E42" i="41"/>
  <c r="F100" i="41"/>
  <c r="G48" i="41"/>
  <c r="G95" i="41"/>
  <c r="H98" i="41"/>
  <c r="I93" i="41"/>
  <c r="I134" i="41"/>
  <c r="I129" i="41"/>
  <c r="N6" i="41"/>
  <c r="I133" i="41"/>
  <c r="L96" i="41"/>
  <c r="L44" i="41"/>
  <c r="I46" i="41"/>
  <c r="I132" i="41"/>
  <c r="H235" i="41"/>
  <c r="I136" i="41"/>
  <c r="K38" i="41"/>
  <c r="K91" i="41"/>
  <c r="M93" i="41"/>
  <c r="M98" i="41"/>
  <c r="H237" i="41"/>
  <c r="D45" i="41"/>
  <c r="I127" i="41"/>
  <c r="L47" i="41"/>
  <c r="H236" i="41"/>
  <c r="H238" i="41"/>
  <c r="I128" i="41"/>
  <c r="I131" i="41"/>
  <c r="K45" i="41"/>
  <c r="M47" i="41"/>
  <c r="E98" i="41"/>
  <c r="E90" i="41"/>
  <c r="F68" i="41"/>
  <c r="F77" i="41" s="1"/>
  <c r="J95" i="41"/>
  <c r="B90" i="41"/>
  <c r="D100" i="41"/>
  <c r="D92" i="41"/>
  <c r="N10" i="41"/>
  <c r="G39" i="41"/>
  <c r="H42" i="41"/>
  <c r="N11" i="41"/>
  <c r="N3" i="41"/>
  <c r="J38" i="41"/>
  <c r="B42" i="41"/>
  <c r="L236" i="41"/>
  <c r="F236" i="41"/>
  <c r="M238" i="41"/>
  <c r="E41" i="41"/>
  <c r="F45" i="41"/>
  <c r="I94" i="41"/>
  <c r="D43" i="41"/>
  <c r="N14" i="41"/>
  <c r="E97" i="41"/>
  <c r="F44" i="41"/>
  <c r="N7" i="41"/>
  <c r="C98" i="41"/>
  <c r="C90" i="41"/>
  <c r="N12" i="41"/>
  <c r="K92" i="41"/>
  <c r="M99" i="41"/>
  <c r="B16" i="41"/>
  <c r="B29" i="41" s="1"/>
  <c r="G100" i="41"/>
  <c r="J100" i="41"/>
  <c r="C44" i="41"/>
  <c r="C100" i="41"/>
  <c r="M40" i="41"/>
  <c r="K44" i="41"/>
  <c r="M46" i="41"/>
  <c r="L238" i="41"/>
  <c r="L235" i="41"/>
  <c r="L237" i="41"/>
  <c r="J96" i="41"/>
  <c r="C137" i="41"/>
  <c r="L133" i="41"/>
  <c r="L128" i="41"/>
  <c r="L125" i="41"/>
  <c r="L136" i="41"/>
  <c r="L127" i="41"/>
  <c r="L135" i="41"/>
  <c r="L126" i="41"/>
  <c r="L130" i="41"/>
  <c r="L129" i="41"/>
  <c r="N118" i="41"/>
  <c r="B127" i="41"/>
  <c r="B131" i="41"/>
  <c r="B125" i="41"/>
  <c r="B135" i="41"/>
  <c r="B129" i="41"/>
  <c r="B126" i="41"/>
  <c r="B133" i="41"/>
  <c r="B130" i="41"/>
  <c r="B128" i="41"/>
  <c r="B134" i="41"/>
  <c r="B132" i="41"/>
  <c r="AC67" i="41"/>
  <c r="K97" i="41"/>
  <c r="I67" i="41"/>
  <c r="I7" i="50" s="1"/>
  <c r="M100" i="41"/>
  <c r="N65" i="41"/>
  <c r="J94" i="41"/>
  <c r="J67" i="41"/>
  <c r="I7" i="51" s="1"/>
  <c r="F92" i="41"/>
  <c r="E67" i="41"/>
  <c r="G7" i="46" s="1"/>
  <c r="B95" i="41"/>
  <c r="M94" i="41"/>
  <c r="K43" i="41"/>
  <c r="L15" i="41"/>
  <c r="G5" i="53" s="1"/>
  <c r="N13" i="41"/>
  <c r="N5" i="41"/>
  <c r="L16" i="41"/>
  <c r="L30" i="41" s="1"/>
  <c r="K16" i="41"/>
  <c r="C42" i="41"/>
  <c r="J39" i="41"/>
  <c r="L48" i="41"/>
  <c r="M45" i="41"/>
  <c r="J47" i="41"/>
  <c r="J46" i="41"/>
  <c r="I45" i="41"/>
  <c r="K39" i="41"/>
  <c r="C41" i="41"/>
  <c r="K15" i="41"/>
  <c r="I5" i="52" s="1"/>
  <c r="D42" i="41"/>
  <c r="M16" i="41"/>
  <c r="M24" i="41" s="1"/>
  <c r="N9" i="41"/>
  <c r="M15" i="41"/>
  <c r="G5" i="54" s="1"/>
  <c r="B39" i="41"/>
  <c r="M41" i="41"/>
  <c r="I38" i="41"/>
  <c r="G47" i="41"/>
  <c r="P28" i="39"/>
  <c r="P29" i="39"/>
  <c r="E130" i="41"/>
  <c r="E134" i="41"/>
  <c r="J9" i="46"/>
  <c r="E132" i="41"/>
  <c r="H43" i="41"/>
  <c r="H16" i="39"/>
  <c r="N8" i="41"/>
  <c r="E44" i="41"/>
  <c r="E43" i="41"/>
  <c r="E235" i="41"/>
  <c r="E236" i="41"/>
  <c r="E237" i="41"/>
  <c r="E238" i="41"/>
  <c r="H100" i="41"/>
  <c r="H99" i="41"/>
  <c r="H96" i="41"/>
  <c r="H95" i="41"/>
  <c r="H92" i="41"/>
  <c r="H68" i="41"/>
  <c r="H67" i="41"/>
  <c r="H91" i="41"/>
  <c r="AC15" i="41"/>
  <c r="E16" i="41"/>
  <c r="E31" i="41" s="1"/>
  <c r="E15" i="41"/>
  <c r="F97" i="41"/>
  <c r="F98" i="41"/>
  <c r="F94" i="41"/>
  <c r="N59" i="41"/>
  <c r="F93" i="41"/>
  <c r="F90" i="41"/>
  <c r="F67" i="41"/>
  <c r="H47" i="41"/>
  <c r="H16" i="41"/>
  <c r="H30" i="41" s="1"/>
  <c r="H15" i="41"/>
  <c r="H39" i="41"/>
  <c r="H38" i="41"/>
  <c r="N4" i="41"/>
  <c r="E48" i="41"/>
  <c r="E40" i="41"/>
  <c r="E47" i="41"/>
  <c r="E39" i="41"/>
  <c r="H46" i="41"/>
  <c r="G239" i="41"/>
  <c r="C97" i="41"/>
  <c r="C96" i="41"/>
  <c r="N62" i="41"/>
  <c r="C67" i="41"/>
  <c r="C92" i="41"/>
  <c r="C93" i="41"/>
  <c r="G97" i="41"/>
  <c r="G96" i="41"/>
  <c r="G92" i="41"/>
  <c r="G68" i="41"/>
  <c r="G76" i="41" s="1"/>
  <c r="G93" i="41"/>
  <c r="N63" i="41"/>
  <c r="N55" i="41"/>
  <c r="D99" i="41"/>
  <c r="N64" i="41"/>
  <c r="D98" i="41"/>
  <c r="D95" i="41"/>
  <c r="D94" i="41"/>
  <c r="N60" i="41"/>
  <c r="D68" i="41"/>
  <c r="D78" i="41" s="1"/>
  <c r="D67" i="41"/>
  <c r="D90" i="41"/>
  <c r="N56" i="41"/>
  <c r="D91" i="41"/>
  <c r="G16" i="41"/>
  <c r="G15" i="41"/>
  <c r="G40" i="41"/>
  <c r="L131" i="41"/>
  <c r="L134" i="41"/>
  <c r="L132" i="41"/>
  <c r="L67" i="41"/>
  <c r="L68" i="41"/>
  <c r="M91" i="41"/>
  <c r="M68" i="41"/>
  <c r="J7" i="54" s="1"/>
  <c r="M90" i="41"/>
  <c r="M67" i="41"/>
  <c r="K68" i="41"/>
  <c r="K67" i="41"/>
  <c r="K93" i="41"/>
  <c r="B15" i="41"/>
  <c r="I5" i="43" s="1"/>
  <c r="F15" i="41"/>
  <c r="G5" i="47" s="1"/>
  <c r="F16" i="41"/>
  <c r="G67" i="41"/>
  <c r="N66" i="41"/>
  <c r="B100" i="41"/>
  <c r="B92" i="41"/>
  <c r="N58" i="41"/>
  <c r="C68" i="41"/>
  <c r="D15" i="41"/>
  <c r="G5" i="45" s="1"/>
  <c r="E100" i="41"/>
  <c r="E99" i="41"/>
  <c r="E95" i="41"/>
  <c r="N61" i="41"/>
  <c r="E96" i="41"/>
  <c r="N57" i="41"/>
  <c r="E91" i="41"/>
  <c r="E68" i="41"/>
  <c r="E92" i="41"/>
  <c r="I16" i="41"/>
  <c r="I15" i="41"/>
  <c r="I100" i="41"/>
  <c r="I99" i="41"/>
  <c r="I92" i="41"/>
  <c r="I68" i="41"/>
  <c r="I91" i="41"/>
  <c r="J16" i="41"/>
  <c r="J15" i="41"/>
  <c r="J92" i="41"/>
  <c r="J91" i="41"/>
  <c r="J68" i="41"/>
  <c r="B68" i="41"/>
  <c r="C16" i="41"/>
  <c r="C15" i="41"/>
  <c r="D16" i="41"/>
  <c r="F235" i="41"/>
  <c r="F237" i="41"/>
  <c r="F238" i="41"/>
  <c r="B67" i="41"/>
  <c r="D137" i="41" l="1"/>
  <c r="H137" i="41"/>
  <c r="C7" i="43"/>
  <c r="C239" i="41"/>
  <c r="G137" i="41"/>
  <c r="I5" i="53"/>
  <c r="C12" i="59"/>
  <c r="C11" i="59"/>
  <c r="J137" i="41"/>
  <c r="L21" i="41"/>
  <c r="M137" i="41"/>
  <c r="K137" i="41"/>
  <c r="F81" i="41"/>
  <c r="F82" i="41"/>
  <c r="F80" i="41"/>
  <c r="F84" i="41"/>
  <c r="F79" i="41"/>
  <c r="F73" i="41"/>
  <c r="F75" i="41"/>
  <c r="F78" i="41"/>
  <c r="F83" i="41"/>
  <c r="G5" i="52"/>
  <c r="F74" i="41"/>
  <c r="I7" i="46"/>
  <c r="F137" i="41"/>
  <c r="F76" i="41"/>
  <c r="J7" i="47"/>
  <c r="L27" i="41"/>
  <c r="J5" i="53"/>
  <c r="I5" i="54"/>
  <c r="H239" i="41"/>
  <c r="G7" i="51"/>
  <c r="B25" i="41"/>
  <c r="I137" i="41"/>
  <c r="M239" i="41"/>
  <c r="B49" i="41"/>
  <c r="L25" i="41"/>
  <c r="J5" i="43"/>
  <c r="B28" i="41"/>
  <c r="B23" i="41"/>
  <c r="B31" i="41"/>
  <c r="B21" i="41"/>
  <c r="B27" i="41"/>
  <c r="M27" i="41"/>
  <c r="G7" i="50"/>
  <c r="B24" i="41"/>
  <c r="L239" i="41"/>
  <c r="B22" i="41"/>
  <c r="B26" i="41"/>
  <c r="B30" i="41"/>
  <c r="B32" i="41"/>
  <c r="M84" i="41"/>
  <c r="G80" i="41"/>
  <c r="E137" i="41"/>
  <c r="L137" i="41"/>
  <c r="B137" i="41"/>
  <c r="D74" i="41"/>
  <c r="J5" i="54"/>
  <c r="M23" i="41"/>
  <c r="M22" i="41"/>
  <c r="M82" i="41"/>
  <c r="M21" i="41"/>
  <c r="M75" i="41"/>
  <c r="M30" i="41"/>
  <c r="M73" i="41"/>
  <c r="M78" i="41"/>
  <c r="M81" i="41"/>
  <c r="M80" i="41"/>
  <c r="M74" i="41"/>
  <c r="M76" i="41"/>
  <c r="M32" i="41"/>
  <c r="M77" i="41"/>
  <c r="M31" i="41"/>
  <c r="M28" i="41"/>
  <c r="M26" i="41"/>
  <c r="M83" i="41"/>
  <c r="M25" i="41"/>
  <c r="M79" i="41"/>
  <c r="M29" i="41"/>
  <c r="J5" i="52"/>
  <c r="K32" i="41"/>
  <c r="K26" i="41"/>
  <c r="K30" i="41"/>
  <c r="K28" i="41"/>
  <c r="K24" i="41"/>
  <c r="K29" i="41"/>
  <c r="K25" i="41"/>
  <c r="K21" i="41"/>
  <c r="K31" i="41"/>
  <c r="K23" i="41"/>
  <c r="K22" i="41"/>
  <c r="L24" i="41"/>
  <c r="L22" i="41"/>
  <c r="L29" i="41"/>
  <c r="L31" i="41"/>
  <c r="L26" i="41"/>
  <c r="L28" i="41"/>
  <c r="L23" i="41"/>
  <c r="K27" i="41"/>
  <c r="L32" i="41"/>
  <c r="J7" i="50"/>
  <c r="I73" i="41"/>
  <c r="I78" i="41"/>
  <c r="I81" i="41"/>
  <c r="I76" i="41"/>
  <c r="I84" i="41"/>
  <c r="I82" i="41"/>
  <c r="I80" i="41"/>
  <c r="I74" i="41"/>
  <c r="I77" i="41"/>
  <c r="I79" i="41"/>
  <c r="I5" i="44"/>
  <c r="G5" i="44"/>
  <c r="J5" i="50"/>
  <c r="I30" i="41"/>
  <c r="I23" i="41"/>
  <c r="I27" i="41"/>
  <c r="I25" i="41"/>
  <c r="I29" i="41"/>
  <c r="I32" i="41"/>
  <c r="I26" i="41"/>
  <c r="I31" i="41"/>
  <c r="I21" i="41"/>
  <c r="I22" i="41"/>
  <c r="I24" i="41"/>
  <c r="I28" i="41"/>
  <c r="G7" i="48"/>
  <c r="I7" i="48"/>
  <c r="I7" i="53"/>
  <c r="G7" i="53"/>
  <c r="J5" i="48"/>
  <c r="G25" i="41"/>
  <c r="G29" i="41"/>
  <c r="G28" i="41"/>
  <c r="G21" i="41"/>
  <c r="G24" i="41"/>
  <c r="G30" i="41"/>
  <c r="G27" i="41"/>
  <c r="G32" i="41"/>
  <c r="G26" i="41"/>
  <c r="G22" i="41"/>
  <c r="G23" i="41"/>
  <c r="G31" i="41"/>
  <c r="J5" i="49"/>
  <c r="H25" i="41"/>
  <c r="H31" i="41"/>
  <c r="H32" i="41"/>
  <c r="H21" i="41"/>
  <c r="H22" i="41"/>
  <c r="H28" i="41"/>
  <c r="H24" i="41"/>
  <c r="H27" i="41"/>
  <c r="H23" i="41"/>
  <c r="H29" i="41"/>
  <c r="I5" i="46"/>
  <c r="G5" i="46"/>
  <c r="J7" i="49"/>
  <c r="H73" i="41"/>
  <c r="H78" i="41"/>
  <c r="H74" i="41"/>
  <c r="H84" i="41"/>
  <c r="H80" i="41"/>
  <c r="H81" i="41"/>
  <c r="H82" i="41"/>
  <c r="H79" i="41"/>
  <c r="H77" i="41"/>
  <c r="H76" i="41"/>
  <c r="H83" i="41"/>
  <c r="H26" i="41"/>
  <c r="G7" i="43"/>
  <c r="I7" i="43"/>
  <c r="N67" i="41"/>
  <c r="J5" i="44"/>
  <c r="C24" i="41"/>
  <c r="C23" i="41"/>
  <c r="C30" i="41"/>
  <c r="C27" i="41"/>
  <c r="C21" i="41"/>
  <c r="C26" i="41"/>
  <c r="C32" i="41"/>
  <c r="C28" i="41"/>
  <c r="C29" i="41"/>
  <c r="C25" i="41"/>
  <c r="C31" i="41"/>
  <c r="C22" i="41"/>
  <c r="I83" i="41"/>
  <c r="J5" i="47"/>
  <c r="F31" i="41"/>
  <c r="F29" i="41"/>
  <c r="F22" i="41"/>
  <c r="F27" i="41"/>
  <c r="F25" i="41"/>
  <c r="F24" i="41"/>
  <c r="F28" i="41"/>
  <c r="F21" i="41"/>
  <c r="F30" i="41"/>
  <c r="F32" i="41"/>
  <c r="F26" i="41"/>
  <c r="F23" i="41"/>
  <c r="G7" i="52"/>
  <c r="I7" i="52"/>
  <c r="G7" i="45"/>
  <c r="I7" i="45"/>
  <c r="J5" i="46"/>
  <c r="E30" i="41"/>
  <c r="E24" i="41"/>
  <c r="E28" i="41"/>
  <c r="E32" i="41"/>
  <c r="E22" i="41"/>
  <c r="E27" i="41"/>
  <c r="E25" i="41"/>
  <c r="E23" i="41"/>
  <c r="E29" i="41"/>
  <c r="E26" i="41"/>
  <c r="E21" i="41"/>
  <c r="E239" i="41"/>
  <c r="F239" i="41"/>
  <c r="J7" i="43"/>
  <c r="B75" i="41"/>
  <c r="B78" i="41"/>
  <c r="B74" i="41"/>
  <c r="B83" i="41"/>
  <c r="B76" i="41"/>
  <c r="B79" i="41"/>
  <c r="B77" i="41"/>
  <c r="B73" i="41"/>
  <c r="B80" i="41"/>
  <c r="B82" i="41"/>
  <c r="B81" i="41"/>
  <c r="B84" i="41"/>
  <c r="G5" i="51"/>
  <c r="I5" i="51"/>
  <c r="J7" i="46"/>
  <c r="E77" i="41"/>
  <c r="E82" i="41"/>
  <c r="E75" i="41"/>
  <c r="E76" i="41"/>
  <c r="E81" i="41"/>
  <c r="E78" i="41"/>
  <c r="E84" i="41"/>
  <c r="E79" i="41"/>
  <c r="E80" i="41"/>
  <c r="E83" i="41"/>
  <c r="E74" i="41"/>
  <c r="E73" i="41"/>
  <c r="I5" i="45"/>
  <c r="I5" i="47"/>
  <c r="J7" i="52"/>
  <c r="K84" i="41"/>
  <c r="K73" i="41"/>
  <c r="K79" i="41"/>
  <c r="K75" i="41"/>
  <c r="K80" i="41"/>
  <c r="K74" i="41"/>
  <c r="K81" i="41"/>
  <c r="K77" i="41"/>
  <c r="K82" i="41"/>
  <c r="K76" i="41"/>
  <c r="K83" i="41"/>
  <c r="K78" i="41"/>
  <c r="D80" i="41"/>
  <c r="J7" i="45"/>
  <c r="D77" i="41"/>
  <c r="D73" i="41"/>
  <c r="D75" i="41"/>
  <c r="D76" i="41"/>
  <c r="D83" i="41"/>
  <c r="D84" i="41"/>
  <c r="D82" i="41"/>
  <c r="D79" i="41"/>
  <c r="D81" i="41"/>
  <c r="G77" i="41"/>
  <c r="J7" i="48"/>
  <c r="G75" i="41"/>
  <c r="G83" i="41"/>
  <c r="G79" i="41"/>
  <c r="G81" i="41"/>
  <c r="G74" i="41"/>
  <c r="G82" i="41"/>
  <c r="G78" i="41"/>
  <c r="G84" i="41"/>
  <c r="G73" i="41"/>
  <c r="G7" i="44"/>
  <c r="I7" i="44"/>
  <c r="H75" i="41"/>
  <c r="J5" i="45"/>
  <c r="D27" i="41"/>
  <c r="D28" i="41"/>
  <c r="D21" i="41"/>
  <c r="D30" i="41"/>
  <c r="D32" i="41"/>
  <c r="D29" i="41"/>
  <c r="D22" i="41"/>
  <c r="D25" i="41"/>
  <c r="D23" i="41"/>
  <c r="D24" i="41"/>
  <c r="D26" i="41"/>
  <c r="D31" i="41"/>
  <c r="J7" i="51"/>
  <c r="J77" i="41"/>
  <c r="J74" i="41"/>
  <c r="J73" i="41"/>
  <c r="J75" i="41"/>
  <c r="J79" i="41"/>
  <c r="J76" i="41"/>
  <c r="J78" i="41"/>
  <c r="J80" i="41"/>
  <c r="J81" i="41"/>
  <c r="J84" i="41"/>
  <c r="J82" i="41"/>
  <c r="J83" i="41"/>
  <c r="J31" i="41"/>
  <c r="J5" i="51"/>
  <c r="J26" i="41"/>
  <c r="J24" i="41"/>
  <c r="J23" i="41"/>
  <c r="J21" i="41"/>
  <c r="J25" i="41"/>
  <c r="J22" i="41"/>
  <c r="J29" i="41"/>
  <c r="J28" i="41"/>
  <c r="J27" i="41"/>
  <c r="J30" i="41"/>
  <c r="J32" i="41"/>
  <c r="I75" i="41"/>
  <c r="I5" i="50"/>
  <c r="G5" i="50"/>
  <c r="J7" i="44"/>
  <c r="C77" i="41"/>
  <c r="C81" i="41"/>
  <c r="C82" i="41"/>
  <c r="C79" i="41"/>
  <c r="C74" i="41"/>
  <c r="C83" i="41"/>
  <c r="C73" i="41"/>
  <c r="C78" i="41"/>
  <c r="C75" i="41"/>
  <c r="C84" i="41"/>
  <c r="G5" i="43"/>
  <c r="N15" i="41"/>
  <c r="I7" i="54"/>
  <c r="G7" i="54"/>
  <c r="L74" i="41"/>
  <c r="L79" i="41"/>
  <c r="J7" i="53"/>
  <c r="L80" i="41"/>
  <c r="L83" i="41"/>
  <c r="L75" i="41"/>
  <c r="L77" i="41"/>
  <c r="L81" i="41"/>
  <c r="L76" i="41"/>
  <c r="L84" i="41"/>
  <c r="L73" i="41"/>
  <c r="L82" i="41"/>
  <c r="L78" i="41"/>
  <c r="I5" i="48"/>
  <c r="G5" i="48"/>
  <c r="C76" i="41"/>
  <c r="C80" i="41"/>
  <c r="G5" i="49"/>
  <c r="I5" i="49"/>
  <c r="I7" i="47"/>
  <c r="G7" i="47"/>
  <c r="I7" i="49"/>
  <c r="G7" i="49"/>
  <c r="F85" i="41" l="1"/>
  <c r="B33" i="41"/>
  <c r="M85" i="41"/>
  <c r="M33" i="41"/>
  <c r="L33" i="41"/>
  <c r="B85" i="41"/>
  <c r="D85" i="41"/>
  <c r="F33" i="41"/>
  <c r="I33" i="41"/>
  <c r="K33" i="41"/>
  <c r="J33" i="41"/>
  <c r="D33" i="41"/>
  <c r="E33" i="41"/>
  <c r="H33" i="41"/>
  <c r="G33" i="41"/>
  <c r="C85" i="41"/>
  <c r="E85" i="41"/>
  <c r="C33" i="41"/>
  <c r="H85" i="41"/>
  <c r="I85" i="41"/>
  <c r="L85" i="41"/>
  <c r="J85" i="41"/>
  <c r="G85" i="41"/>
  <c r="K85" i="41"/>
</calcChain>
</file>

<file path=xl/sharedStrings.xml><?xml version="1.0" encoding="utf-8"?>
<sst xmlns="http://schemas.openxmlformats.org/spreadsheetml/2006/main" count="1202" uniqueCount="216">
  <si>
    <t>Average Archive Growth</t>
    <phoneticPr fontId="0" type="noConversion"/>
  </si>
  <si>
    <t>End User Distribution Products</t>
  </si>
  <si>
    <t>End User Average Distribution Volume</t>
    <phoneticPr fontId="0" type="noConversion"/>
  </si>
  <si>
    <t>ASDC</t>
  </si>
  <si>
    <t>ASF</t>
  </si>
  <si>
    <t>CDDIS</t>
  </si>
  <si>
    <t>GESDISC</t>
  </si>
  <si>
    <t>GHRC</t>
  </si>
  <si>
    <t>NSIDC</t>
  </si>
  <si>
    <t>ORNL</t>
  </si>
  <si>
    <t>SEDAC</t>
  </si>
  <si>
    <t>Total</t>
  </si>
  <si>
    <t>PO.DAAC</t>
  </si>
  <si>
    <t>Products By Month</t>
  </si>
  <si>
    <t>LP DAAC</t>
  </si>
  <si>
    <t>Total Products</t>
  </si>
  <si>
    <t>Month</t>
  </si>
  <si>
    <t>OB.DAAC</t>
  </si>
  <si>
    <t>User</t>
  </si>
  <si>
    <t>Unique Data set</t>
  </si>
  <si>
    <t>Data users Only</t>
  </si>
  <si>
    <t>growth rate</t>
  </si>
  <si>
    <t>Products (Million)</t>
  </si>
  <si>
    <t>Vol (TB)</t>
  </si>
  <si>
    <t>per day</t>
  </si>
  <si>
    <t xml:space="preserve">Change from
</t>
  </si>
  <si>
    <t>12 Month</t>
  </si>
  <si>
    <t>Average</t>
  </si>
  <si>
    <t>Trend</t>
  </si>
  <si>
    <t>mean</t>
  </si>
  <si>
    <t>gain/loss from 12 month mean</t>
  </si>
  <si>
    <t>gain/loss from previous month</t>
  </si>
  <si>
    <t xml:space="preserve">Monthly </t>
  </si>
  <si>
    <t>Volume distributed</t>
  </si>
  <si>
    <t>Vol (GB)</t>
  </si>
  <si>
    <t>Number of Users</t>
  </si>
  <si>
    <t>DAAC</t>
  </si>
  <si>
    <t>FY08</t>
  </si>
  <si>
    <t>FY09</t>
  </si>
  <si>
    <t>FY10</t>
  </si>
  <si>
    <t>FY11</t>
  </si>
  <si>
    <t>FY12</t>
  </si>
  <si>
    <t>FY13</t>
  </si>
  <si>
    <t>FY14</t>
  </si>
  <si>
    <t>Total Archive Volume (TB)</t>
  </si>
  <si>
    <t>FY15</t>
  </si>
  <si>
    <t>total</t>
  </si>
  <si>
    <t>Fiscal Year</t>
  </si>
  <si>
    <t>% of Web Users using the Data</t>
  </si>
  <si>
    <t>GES DISC</t>
  </si>
  <si>
    <t>LPDAAC</t>
  </si>
  <si>
    <t>VISITORS</t>
  </si>
  <si>
    <t>VISITS</t>
  </si>
  <si>
    <t>VIEWS</t>
  </si>
  <si>
    <t>Grand Total</t>
  </si>
  <si>
    <t># of Web Visitors</t>
  </si>
  <si>
    <t>gain/loss from 12 month mean (Web Visitor)</t>
  </si>
  <si>
    <t>gain/loss from previous month (Web visitor)</t>
  </si>
  <si>
    <t>Data User</t>
  </si>
  <si>
    <t>FY07</t>
  </si>
  <si>
    <t>Fiscal year</t>
  </si>
  <si>
    <t># of Web Visits, Views, and Visitors by Year</t>
  </si>
  <si>
    <t>Volume (TB)</t>
  </si>
  <si>
    <t>EOSDIS</t>
  </si>
  <si>
    <t>Item</t>
  </si>
  <si>
    <t>Number of Files Distirbuted</t>
  </si>
  <si>
    <t>Number of Files Distirbuted (Million)</t>
  </si>
  <si>
    <t>Web User</t>
  </si>
  <si>
    <t>Files 
(Millions)</t>
  </si>
  <si>
    <t>Number of Files distributed (million)</t>
  </si>
  <si>
    <t>This worksheet contains tables of metrics data from each DAAC for fiscal years FY07 to the present. Data includes key metrics and distribution data (files, volume, number of users).</t>
  </si>
  <si>
    <t>Total Archive Vol (TB)</t>
  </si>
  <si>
    <t>FY16</t>
  </si>
  <si>
    <t>LARC ANGE</t>
  </si>
  <si>
    <t>LARC ECS</t>
  </si>
  <si>
    <t>LARC ORDERS</t>
  </si>
  <si>
    <t>LARC SVC</t>
  </si>
  <si>
    <t>LPDAAC
DEM</t>
  </si>
  <si>
    <t>LPDAAC
LTA</t>
  </si>
  <si>
    <t>NSIDCV0</t>
  </si>
  <si>
    <t>PODAACDS</t>
  </si>
  <si>
    <t>LANCE</t>
  </si>
  <si>
    <t xml:space="preserve"> </t>
  </si>
  <si>
    <t>Archive Volume (TB)</t>
  </si>
  <si>
    <t>one week</t>
  </si>
  <si>
    <t>yearly Total</t>
  </si>
  <si>
    <t>This worksheet contains tables of metrics data for LANCE for fiscal years FY10 to the present. Data includes key metrics and distribution data (files, volume, number of users).</t>
  </si>
  <si>
    <t>Total Archive Vol (PB)</t>
  </si>
  <si>
    <t>Average Archive Growth</t>
    <phoneticPr fontId="0" type="noConversion"/>
  </si>
  <si>
    <t>Data User (Registered)</t>
  </si>
  <si>
    <t>*1 Un-registered (Rapid Response and FIRMS users) excluded</t>
  </si>
  <si>
    <t>*2 Represents Production Volume for LANCE</t>
  </si>
  <si>
    <t>FY17</t>
  </si>
  <si>
    <t>from "Data_Users" tab (stage 3, Distinct data users)</t>
  </si>
  <si>
    <t>Above two tables are total (including NRT)</t>
  </si>
  <si>
    <t>using LANCEdistdailysummaryMV</t>
  </si>
  <si>
    <t># of registered users in "NRT" tab of annual report</t>
  </si>
  <si>
    <t>For September data, copy from last year's result</t>
  </si>
  <si>
    <t>Do not modify the upper table</t>
  </si>
  <si>
    <t>FY18</t>
  </si>
  <si>
    <t>Do not change</t>
  </si>
  <si>
    <t>FY18 total</t>
  </si>
  <si>
    <t xml:space="preserve">From total_users &gt; total distinct users of data and services </t>
  </si>
  <si>
    <t>From web_visits-visitors&gt; total plus LANCE_web_metircs&gt;web  # visit</t>
  </si>
  <si>
    <t>From _summary&gt; Unique data sets</t>
  </si>
  <si>
    <t>From total_users&gt; % of Web Uers using the data</t>
  </si>
  <si>
    <t>From a separate file from Lalit</t>
  </si>
  <si>
    <t>from "Distribution"</t>
  </si>
  <si>
    <t>From Web_Visits-Visitors tab in annual report, not the sum of monthly web visitors</t>
  </si>
  <si>
    <t>From Web_Visits-Visitors tab, not the sum of monthly web visitors</t>
  </si>
  <si>
    <t>LANCE_WebMetrics</t>
  </si>
  <si>
    <t>NRT</t>
  </si>
  <si>
    <t>Source Tab</t>
  </si>
  <si>
    <t>Unique_Product_Counts</t>
  </si>
  <si>
    <t>Web_visits-Visitors</t>
  </si>
  <si>
    <t>Total_Users</t>
  </si>
  <si>
    <t xml:space="preserve"> Archive</t>
  </si>
  <si>
    <t>Archive</t>
  </si>
  <si>
    <t>Total Archive Size</t>
  </si>
  <si>
    <t>Total User</t>
  </si>
  <si>
    <t>Total Volume</t>
  </si>
  <si>
    <t xml:space="preserve"> from NRT tab</t>
  </si>
  <si>
    <t>from "LANCE_WebMetrics"</t>
  </si>
  <si>
    <t>LAADS DAAC</t>
  </si>
  <si>
    <t>FY19</t>
  </si>
  <si>
    <t>FY19 total</t>
  </si>
  <si>
    <t>script5_1, FY19_annual_registered_NRT_Users by month</t>
  </si>
  <si>
    <t>B6:D6</t>
  </si>
  <si>
    <t>NRT (2018)</t>
  </si>
  <si>
    <t>D23 from "LANCE_WebMetrics"</t>
  </si>
  <si>
    <t>These two cells should be modified every year</t>
  </si>
  <si>
    <t>Modify T13:T15 only</t>
  </si>
  <si>
    <t>from "Distribution" tab</t>
  </si>
  <si>
    <t>should be zero</t>
  </si>
  <si>
    <t>NRT B83</t>
  </si>
  <si>
    <t>NRT E83</t>
  </si>
  <si>
    <t># of Web Visitors-NetInsight</t>
  </si>
  <si>
    <t># of Web Visitors-GA</t>
  </si>
  <si>
    <t>Web User-GA</t>
  </si>
  <si>
    <t># of Web Visits, Views, and Visitors by Year-NetInsight</t>
  </si>
  <si>
    <t># of Web Visits, Views, and Visitors by Year-GA</t>
  </si>
  <si>
    <t>webvisit (NetInsighty)</t>
  </si>
  <si>
    <t>webvisit (GA)</t>
  </si>
  <si>
    <t xml:space="preserve">Web Site Visits-GA </t>
  </si>
  <si>
    <t>Distinct Users-GA</t>
  </si>
  <si>
    <t>Distinct Web Visitor (1 min+)-GA</t>
  </si>
  <si>
    <t>Distinct Users-NetInsight</t>
  </si>
  <si>
    <t>Distinct Web Visitor (1 min+)-NetInsight</t>
  </si>
  <si>
    <t>LANCE Registered Users</t>
  </si>
  <si>
    <t>LANCE Un-registered Users</t>
  </si>
  <si>
    <t>Unique Data Sets</t>
  </si>
  <si>
    <t>Distinct Users of EOSDIS Data and Services-GA*1</t>
  </si>
  <si>
    <t>Distinct Web Visitor (1 min+)-NetInsigfht</t>
  </si>
  <si>
    <t>webvisit-NetInsight</t>
  </si>
  <si>
    <t>webvisit-GA</t>
  </si>
  <si>
    <t>2020-09</t>
  </si>
  <si>
    <t>Fy20 Total</t>
  </si>
  <si>
    <t>Total Users</t>
  </si>
  <si>
    <t>FY20</t>
  </si>
  <si>
    <t>FY20 total</t>
  </si>
  <si>
    <t>FY20 archive file (mil)</t>
  </si>
  <si>
    <t>FY20 archive (TB)</t>
  </si>
  <si>
    <t>FY19 archive Vol (TB)</t>
  </si>
  <si>
    <t>from FY20_annual_NRT_Distribution by month</t>
  </si>
  <si>
    <t>FY19 archive files (Millions)</t>
  </si>
  <si>
    <t>FY2020</t>
  </si>
  <si>
    <t>No Data</t>
  </si>
  <si>
    <t>LANCE_Unregistered Users</t>
  </si>
  <si>
    <t>Total Archive Volume*2</t>
  </si>
  <si>
    <t>If you have any questions or comments, please contact Drew Kittel  at (301) 614-6582 or drew.h.kittel@nasa.gov..</t>
  </si>
  <si>
    <t>FY21</t>
  </si>
  <si>
    <t>FY 2021</t>
  </si>
  <si>
    <t>(Oct 2020 to Sep 2021)</t>
  </si>
  <si>
    <t>FY2021 Metrics (Oct 2020 to Sep 2021)</t>
  </si>
  <si>
    <t>FY2021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</si>
  <si>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</si>
  <si>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</si>
  <si>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</si>
  <si>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</si>
  <si>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</si>
  <si>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</si>
  <si>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</si>
  <si>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</si>
  <si>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</si>
  <si>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</si>
  <si>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</si>
  <si>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</si>
  <si>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FY21 total</t>
  </si>
  <si>
    <t>FY21 Total</t>
  </si>
  <si>
    <t>FY20 Total</t>
  </si>
  <si>
    <t>Fy21 Total</t>
  </si>
  <si>
    <t>Result from script1 (Cloud numbers included)</t>
  </si>
  <si>
    <t>I think we can delete this blue section of the table.</t>
  </si>
  <si>
    <t>Prepared By:
Lalit Wanchoo, Adnet Systems, Inc.
Jaclyn Ludema Adnet Systems, Inc
November 2021</t>
  </si>
  <si>
    <r>
      <rPr>
        <sz val="10"/>
        <rFont val="Arial"/>
        <family val="2"/>
      </rPr>
      <t>This file contains tables and graphs of FY2020 metrics and trends for each EOSDIS DAAC plus the total. It complements the FY21 EOSDIS-wide metrics (filename:  FY21AnnualReport.xlsx)
The DAACs are profiled in six charts:
1. Summary for FY 2021
     a. A summary of the FY2020 key metrics per DAAC compared to the EOSDIS Total
2. Distribution and User Trends (Oct 2020 - Sep 2021)
     a. A dashboard charts displaying distribution trends and user behavior for each DAAC over the FY.
3. (DAAC) Multi-Year Total Archive Volume Trend
     a. A plot of the total archive at the DAAC since 2008.
4. (DAAC)  Multi-Year Product Distribution Trend
    a. A plot of the DAAC product distribution since 2008.
5. (DAAC)  Multi-Year Trend for Web Accesses
    a. A plot of the web accesses (visits, views, and visitors) since 2007.
6. (DAAC)  Yearly Percentage of Web Users  Downloading Data
    a. A plot of the percentage of web users that download data from the DAAC since 2008.</t>
    </r>
    <r>
      <rPr>
        <sz val="10"/>
        <color theme="1"/>
        <rFont val="Arial"/>
        <family val="2"/>
      </rPr>
      <t xml:space="preserve"> In FY20 data for dual users could be determined  due to unavailability of the IPaddress in GA.</t>
    </r>
    <r>
      <rPr>
        <sz val="10"/>
        <color rgb="FFFF0000"/>
        <rFont val="Arial"/>
        <family val="2"/>
      </rPr>
      <t xml:space="preserve">
</t>
    </r>
  </si>
  <si>
    <t>Distinct Users of EOSDIS Data and Services (Google Analytics)</t>
  </si>
  <si>
    <t>4.73 M</t>
  </si>
  <si>
    <t>Web Site Sessions (Google Analytics)</t>
  </si>
  <si>
    <t>4.4 M</t>
  </si>
  <si>
    <t>53.9 TB/day</t>
  </si>
  <si>
    <t>Total Archive Volume Including in Cloud</t>
  </si>
  <si>
    <t>59.24 PB</t>
  </si>
  <si>
    <t>Total Archive Volume in Cloud Only</t>
  </si>
  <si>
    <t>15.77 PB</t>
  </si>
  <si>
    <t>End User Distribution Products including from Cloud</t>
  </si>
  <si>
    <t>1,983.87 M</t>
  </si>
  <si>
    <t>End User Distribution Products from Cloud only</t>
  </si>
  <si>
    <t>19.87 M</t>
  </si>
  <si>
    <t>End User Average Distribution Volume</t>
  </si>
  <si>
    <t>171 TB/day</t>
  </si>
  <si>
    <t>FY21 archive file (mil)</t>
  </si>
  <si>
    <t>FY1 archive (TB)</t>
  </si>
  <si>
    <t>Cloud Data</t>
  </si>
  <si>
    <t>Total Diistribution (m)</t>
  </si>
  <si>
    <t>Archive Size (TB)</t>
  </si>
  <si>
    <r>
      <t xml:space="preserve">
</t>
    </r>
    <r>
      <rPr>
        <sz val="36"/>
        <rFont val="Arial"/>
        <family val="2"/>
      </rPr>
      <t xml:space="preserve">
EOSDIS DAAC Profiles
FY2021
Part of the Annual Metrics Report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</si>
</sst>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mmm\-yy;@"/>
    <numFmt numFmtId="167" formatCode="0.0"/>
    <numFmt numFmtId="168" formatCode="0.0%"/>
    <numFmt numFmtId="169" formatCode="_(* #,##0.0_);_(* \(#,##0.0\);_(* &quot;-&quot;??_);_(@_)"/>
    <numFmt numFmtId="170" formatCode="#,##0.0_);\(#,##0.0\)"/>
    <numFmt numFmtId="171" formatCode="#,##0.0"/>
    <numFmt numFmtId="172" formatCode="#,##0.000"/>
  </numFmts>
  <fonts count="31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2"/>
    </font>
    <font>
      <sz val="11"/>
      <color rgb="FF9C6500"/>
      <name val="Times New Roman"/>
      <family val="2"/>
    </font>
    <font>
      <b/>
      <sz val="2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3" tint="-0.49998474074526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name val="Arial"/>
      <family val="2"/>
    </font>
    <font>
      <sz val="36"/>
      <name val="Arial"/>
      <family val="2"/>
    </font>
    <font>
      <sz val="2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</patternFill>
    </fill>
    <fill>
      <patternFill patternType="solid">
        <fgColor rgb="FFCFF5F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  <fill>
      <patternFill patternType="solid">
        <fgColor rgb="FFB59DF7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4506668294322"/>
      </left>
      <right/>
      <top style="medium">
        <color auto="1"/>
      </top>
      <bottom/>
      <diagonal/>
    </border>
    <border>
      <left/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1454817346722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4506668294322"/>
      </left>
      <right/>
      <top/>
      <bottom style="thin">
        <color auto="1"/>
      </bottom>
      <diagonal/>
    </border>
    <border>
      <left/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1454817346722"/>
      </left>
      <right style="medium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auto="1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</borders>
  <cellStyleXfs count="20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0" fontId="12" fillId="5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07">
    <xf numFmtId="0" fontId="0" fillId="0" borderId="0" xfId="0"/>
    <xf numFmtId="0" fontId="0" fillId="0" borderId="3" xfId="0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/>
    <xf numFmtId="0" fontId="5" fillId="0" borderId="3" xfId="0" applyFont="1" applyBorder="1" applyAlignment="1">
      <alignment horizontal="center" vertical="center"/>
    </xf>
    <xf numFmtId="3" fontId="0" fillId="0" borderId="0" xfId="0" applyNumberFormat="1"/>
    <xf numFmtId="167" fontId="5" fillId="0" borderId="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  <xf numFmtId="165" fontId="0" fillId="0" borderId="0" xfId="8" applyNumberFormat="1" applyFont="1"/>
    <xf numFmtId="43" fontId="0" fillId="0" borderId="0" xfId="8" applyFont="1" applyFill="1" applyBorder="1"/>
    <xf numFmtId="43" fontId="0" fillId="0" borderId="0" xfId="0" applyNumberFormat="1"/>
    <xf numFmtId="0" fontId="7" fillId="0" borderId="3" xfId="0" applyFont="1" applyBorder="1" applyAlignment="1">
      <alignment vertical="top" wrapText="1"/>
    </xf>
    <xf numFmtId="0" fontId="3" fillId="0" borderId="0" xfId="13"/>
    <xf numFmtId="43" fontId="3" fillId="0" borderId="0" xfId="14" applyFont="1"/>
    <xf numFmtId="0" fontId="4" fillId="0" borderId="0" xfId="13" applyFont="1" applyAlignment="1">
      <alignment horizontal="center" vertical="center" wrapText="1"/>
    </xf>
    <xf numFmtId="0" fontId="3" fillId="0" borderId="0" xfId="13" applyAlignment="1">
      <alignment vertical="center" wrapText="1"/>
    </xf>
    <xf numFmtId="0" fontId="3" fillId="0" borderId="0" xfId="13" applyNumberFormat="1"/>
    <xf numFmtId="0" fontId="3" fillId="0" borderId="0" xfId="13" applyAlignment="1">
      <alignment horizontal="left"/>
    </xf>
    <xf numFmtId="43" fontId="3" fillId="0" borderId="0" xfId="8" applyFont="1"/>
    <xf numFmtId="169" fontId="3" fillId="0" borderId="0" xfId="8" applyNumberFormat="1" applyFont="1"/>
    <xf numFmtId="0" fontId="4" fillId="0" borderId="0" xfId="13" applyFont="1"/>
    <xf numFmtId="165" fontId="3" fillId="0" borderId="0" xfId="8" applyNumberFormat="1" applyFont="1"/>
    <xf numFmtId="165" fontId="3" fillId="0" borderId="0" xfId="13" applyNumberFormat="1"/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3" xfId="0" applyBorder="1"/>
    <xf numFmtId="0" fontId="7" fillId="0" borderId="3" xfId="0" applyFont="1" applyBorder="1" applyAlignment="1">
      <alignment vertical="top"/>
    </xf>
    <xf numFmtId="0" fontId="7" fillId="0" borderId="3" xfId="0" applyFont="1" applyFill="1" applyBorder="1" applyAlignment="1">
      <alignment vertical="top" wrapText="1"/>
    </xf>
    <xf numFmtId="0" fontId="2" fillId="0" borderId="0" xfId="13" applyFont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2" fillId="0" borderId="3" xfId="13" applyNumberFormat="1" applyFont="1" applyBorder="1"/>
    <xf numFmtId="0" fontId="7" fillId="0" borderId="0" xfId="0" applyFont="1"/>
    <xf numFmtId="0" fontId="1" fillId="0" borderId="0" xfId="13" applyFont="1"/>
    <xf numFmtId="165" fontId="1" fillId="0" borderId="0" xfId="8" applyNumberFormat="1" applyFont="1"/>
    <xf numFmtId="0" fontId="7" fillId="0" borderId="0" xfId="0" applyFont="1" applyFill="1" applyBorder="1" applyAlignment="1">
      <alignment horizontal="center" vertical="center" wrapText="1"/>
    </xf>
    <xf numFmtId="43" fontId="0" fillId="0" borderId="0" xfId="8" applyFont="1"/>
    <xf numFmtId="49" fontId="0" fillId="0" borderId="0" xfId="0" applyNumberFormat="1" applyFill="1" applyBorder="1" applyAlignment="1">
      <alignment horizontal="center"/>
    </xf>
    <xf numFmtId="49" fontId="14" fillId="2" borderId="6" xfId="0" applyNumberFormat="1" applyFont="1" applyFill="1" applyBorder="1" applyAlignment="1">
      <alignment horizontal="center" vertical="center" wrapText="1"/>
    </xf>
    <xf numFmtId="14" fontId="17" fillId="6" borderId="20" xfId="11" applyNumberFormat="1" applyFont="1" applyFill="1" applyBorder="1" applyAlignment="1">
      <alignment horizontal="center" vertical="center"/>
    </xf>
    <xf numFmtId="0" fontId="17" fillId="6" borderId="21" xfId="11" applyFont="1" applyFill="1" applyBorder="1" applyAlignment="1">
      <alignment horizontal="center" vertical="center"/>
    </xf>
    <xf numFmtId="166" fontId="17" fillId="6" borderId="22" xfId="11" applyNumberFormat="1" applyFont="1" applyFill="1" applyBorder="1" applyAlignment="1">
      <alignment horizontal="center" vertical="center"/>
    </xf>
    <xf numFmtId="0" fontId="17" fillId="6" borderId="23" xfId="11" applyFont="1" applyFill="1" applyBorder="1" applyAlignment="1">
      <alignment horizontal="center" vertical="center"/>
    </xf>
    <xf numFmtId="166" fontId="17" fillId="6" borderId="26" xfId="11" applyNumberFormat="1" applyFont="1" applyFill="1" applyBorder="1" applyAlignment="1">
      <alignment horizontal="center" vertical="center"/>
    </xf>
    <xf numFmtId="14" fontId="17" fillId="6" borderId="27" xfId="11" applyNumberFormat="1" applyFont="1" applyFill="1" applyBorder="1" applyAlignment="1">
      <alignment horizontal="center" vertical="center"/>
    </xf>
    <xf numFmtId="166" fontId="17" fillId="6" borderId="28" xfId="11" applyNumberFormat="1" applyFont="1" applyFill="1" applyBorder="1" applyAlignment="1">
      <alignment horizontal="center" vertical="center"/>
    </xf>
    <xf numFmtId="14" fontId="17" fillId="6" borderId="29" xfId="11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/>
    <xf numFmtId="17" fontId="0" fillId="0" borderId="0" xfId="0" applyNumberFormat="1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vertical="center" wrapText="1"/>
    </xf>
    <xf numFmtId="3" fontId="14" fillId="4" borderId="8" xfId="0" applyNumberFormat="1" applyFont="1" applyFill="1" applyBorder="1" applyAlignment="1">
      <alignment horizontal="right" vertical="center" wrapText="1" indent="1"/>
    </xf>
    <xf numFmtId="172" fontId="14" fillId="4" borderId="10" xfId="0" applyNumberFormat="1" applyFont="1" applyFill="1" applyBorder="1" applyAlignment="1">
      <alignment horizontal="right" vertical="center" wrapText="1" indent="1"/>
    </xf>
    <xf numFmtId="3" fontId="14" fillId="4" borderId="9" xfId="0" applyNumberFormat="1" applyFont="1" applyFill="1" applyBorder="1" applyAlignment="1">
      <alignment horizontal="right" vertical="center" wrapText="1" indent="1"/>
    </xf>
    <xf numFmtId="3" fontId="14" fillId="4" borderId="10" xfId="0" applyNumberFormat="1" applyFont="1" applyFill="1" applyBorder="1" applyAlignment="1">
      <alignment horizontal="right" vertical="center" wrapText="1" indent="1"/>
    </xf>
    <xf numFmtId="171" fontId="14" fillId="4" borderId="10" xfId="0" applyNumberFormat="1" applyFont="1" applyFill="1" applyBorder="1" applyAlignment="1">
      <alignment horizontal="right" vertical="center" wrapText="1" indent="1"/>
    </xf>
    <xf numFmtId="0" fontId="14" fillId="4" borderId="10" xfId="0" applyNumberFormat="1" applyFont="1" applyFill="1" applyBorder="1" applyAlignment="1">
      <alignment horizontal="right" vertical="center" wrapText="1" indent="1"/>
    </xf>
    <xf numFmtId="0" fontId="1" fillId="0" borderId="47" xfId="13" applyFont="1" applyBorder="1"/>
    <xf numFmtId="0" fontId="3" fillId="0" borderId="47" xfId="13" applyBorder="1"/>
    <xf numFmtId="0" fontId="5" fillId="0" borderId="4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5" xfId="0" applyBorder="1" applyAlignment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18" applyFont="1"/>
    <xf numFmtId="0" fontId="1" fillId="0" borderId="0" xfId="18"/>
    <xf numFmtId="0" fontId="0" fillId="0" borderId="47" xfId="0" applyBorder="1" applyAlignment="1">
      <alignment vertical="center" wrapText="1"/>
    </xf>
    <xf numFmtId="167" fontId="0" fillId="0" borderId="47" xfId="0" applyNumberFormat="1" applyFont="1" applyBorder="1" applyAlignment="1">
      <alignment horizontal="center" vertical="center"/>
    </xf>
    <xf numFmtId="43" fontId="1" fillId="0" borderId="0" xfId="8" applyFont="1"/>
    <xf numFmtId="0" fontId="1" fillId="0" borderId="0" xfId="18" applyFont="1"/>
    <xf numFmtId="0" fontId="4" fillId="0" borderId="5" xfId="18" applyFont="1" applyBorder="1" applyAlignment="1">
      <alignment horizontal="center"/>
    </xf>
    <xf numFmtId="0" fontId="1" fillId="0" borderId="11" xfId="18" applyBorder="1"/>
    <xf numFmtId="0" fontId="1" fillId="0" borderId="0" xfId="18" applyBorder="1"/>
    <xf numFmtId="0" fontId="4" fillId="0" borderId="0" xfId="18" applyFont="1" applyAlignment="1">
      <alignment horizontal="center" vertical="center" wrapText="1"/>
    </xf>
    <xf numFmtId="169" fontId="1" fillId="0" borderId="0" xfId="8" applyNumberFormat="1" applyFont="1"/>
    <xf numFmtId="0" fontId="1" fillId="0" borderId="0" xfId="18" applyNumberFormat="1"/>
    <xf numFmtId="0" fontId="0" fillId="0" borderId="0" xfId="0" applyBorder="1" applyAlignment="1"/>
    <xf numFmtId="0" fontId="1" fillId="0" borderId="0" xfId="18" applyFont="1" applyBorder="1"/>
    <xf numFmtId="49" fontId="1" fillId="0" borderId="47" xfId="18" applyNumberFormat="1" applyFont="1" applyBorder="1"/>
    <xf numFmtId="0" fontId="1" fillId="0" borderId="12" xfId="18" applyFont="1" applyBorder="1"/>
    <xf numFmtId="0" fontId="5" fillId="0" borderId="47" xfId="0" applyFont="1" applyBorder="1" applyAlignment="1">
      <alignment horizontal="center"/>
    </xf>
    <xf numFmtId="43" fontId="1" fillId="0" borderId="47" xfId="8" applyFont="1" applyBorder="1"/>
    <xf numFmtId="0" fontId="1" fillId="0" borderId="47" xfId="0" applyFont="1" applyFill="1" applyBorder="1" applyAlignment="1">
      <alignment horizontal="center" wrapText="1"/>
    </xf>
    <xf numFmtId="0" fontId="0" fillId="0" borderId="0" xfId="0" applyBorder="1"/>
    <xf numFmtId="0" fontId="7" fillId="0" borderId="47" xfId="0" applyFont="1" applyBorder="1" applyAlignment="1">
      <alignment horizontal="center" vertical="center" wrapText="1"/>
    </xf>
    <xf numFmtId="0" fontId="0" fillId="0" borderId="47" xfId="0" applyBorder="1"/>
    <xf numFmtId="0" fontId="0" fillId="0" borderId="11" xfId="0" applyBorder="1"/>
    <xf numFmtId="0" fontId="7" fillId="0" borderId="47" xfId="0" applyFont="1" applyFill="1" applyBorder="1" applyAlignment="1">
      <alignment horizontal="center" vertical="center" wrapText="1"/>
    </xf>
    <xf numFmtId="168" fontId="5" fillId="0" borderId="47" xfId="1" applyNumberFormat="1" applyFill="1" applyBorder="1" applyAlignment="1">
      <alignment horizontal="center" vertical="center" wrapText="1"/>
    </xf>
    <xf numFmtId="168" fontId="0" fillId="0" borderId="47" xfId="15" applyNumberFormat="1" applyFont="1" applyBorder="1" applyAlignment="1">
      <alignment horizontal="center" vertical="center"/>
    </xf>
    <xf numFmtId="166" fontId="0" fillId="0" borderId="0" xfId="0" applyNumberFormat="1" applyBorder="1"/>
    <xf numFmtId="165" fontId="7" fillId="0" borderId="0" xfId="8" applyNumberFormat="1" applyFont="1" applyBorder="1" applyAlignment="1">
      <alignment horizontal="center"/>
    </xf>
    <xf numFmtId="165" fontId="1" fillId="0" borderId="11" xfId="8" applyNumberFormat="1" applyFont="1" applyBorder="1"/>
    <xf numFmtId="165" fontId="0" fillId="0" borderId="47" xfId="8" applyNumberFormat="1" applyFont="1" applyBorder="1"/>
    <xf numFmtId="49" fontId="0" fillId="0" borderId="47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/>
    </xf>
    <xf numFmtId="3" fontId="14" fillId="4" borderId="46" xfId="0" applyNumberFormat="1" applyFont="1" applyFill="1" applyBorder="1" applyAlignment="1">
      <alignment horizontal="right" vertical="center" wrapText="1" indent="1"/>
    </xf>
    <xf numFmtId="3" fontId="14" fillId="4" borderId="50" xfId="0" applyNumberFormat="1" applyFont="1" applyFill="1" applyBorder="1" applyAlignment="1">
      <alignment horizontal="right" vertical="center" wrapText="1" indent="1"/>
    </xf>
    <xf numFmtId="0" fontId="14" fillId="4" borderId="50" xfId="0" applyNumberFormat="1" applyFont="1" applyFill="1" applyBorder="1" applyAlignment="1">
      <alignment horizontal="right" vertical="center" wrapText="1" indent="1"/>
    </xf>
    <xf numFmtId="171" fontId="14" fillId="4" borderId="50" xfId="0" applyNumberFormat="1" applyFont="1" applyFill="1" applyBorder="1" applyAlignment="1">
      <alignment horizontal="right" vertical="center" wrapText="1" indent="1"/>
    </xf>
    <xf numFmtId="0" fontId="14" fillId="0" borderId="0" xfId="0" applyFont="1" applyAlignment="1">
      <alignment vertical="top"/>
    </xf>
    <xf numFmtId="0" fontId="0" fillId="0" borderId="51" xfId="0" applyBorder="1"/>
    <xf numFmtId="0" fontId="8" fillId="0" borderId="0" xfId="0" applyFont="1" applyFill="1"/>
    <xf numFmtId="0" fontId="0" fillId="0" borderId="0" xfId="0" applyFill="1"/>
    <xf numFmtId="164" fontId="0" fillId="0" borderId="0" xfId="0" applyNumberFormat="1" applyFill="1"/>
    <xf numFmtId="169" fontId="0" fillId="0" borderId="0" xfId="8" applyNumberFormat="1" applyFont="1" applyFill="1"/>
    <xf numFmtId="43" fontId="0" fillId="0" borderId="0" xfId="8" applyFont="1" applyFill="1"/>
    <xf numFmtId="49" fontId="0" fillId="0" borderId="47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wrapText="1"/>
    </xf>
    <xf numFmtId="0" fontId="2" fillId="0" borderId="3" xfId="13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13" applyAlignment="1">
      <alignment horizontal="center" vertical="center"/>
    </xf>
    <xf numFmtId="0" fontId="0" fillId="0" borderId="3" xfId="0" applyBorder="1" applyAlignment="1">
      <alignment horizontal="left" vertical="center"/>
    </xf>
    <xf numFmtId="166" fontId="0" fillId="0" borderId="3" xfId="0" applyNumberFormat="1" applyBorder="1" applyAlignment="1">
      <alignment horizontal="center"/>
    </xf>
    <xf numFmtId="0" fontId="25" fillId="0" borderId="0" xfId="18" applyFont="1"/>
    <xf numFmtId="43" fontId="5" fillId="8" borderId="3" xfId="8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left" vertical="center"/>
    </xf>
    <xf numFmtId="43" fontId="3" fillId="8" borderId="0" xfId="8" applyFont="1" applyFill="1"/>
    <xf numFmtId="0" fontId="3" fillId="8" borderId="0" xfId="13" applyFill="1"/>
    <xf numFmtId="169" fontId="3" fillId="8" borderId="0" xfId="8" applyNumberFormat="1" applyFont="1" applyFill="1"/>
    <xf numFmtId="167" fontId="5" fillId="8" borderId="3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vertical="center" wrapText="1"/>
    </xf>
    <xf numFmtId="165" fontId="5" fillId="8" borderId="3" xfId="8" applyNumberFormat="1" applyFont="1" applyFill="1" applyBorder="1" applyAlignment="1">
      <alignment vertical="center"/>
    </xf>
    <xf numFmtId="165" fontId="3" fillId="8" borderId="0" xfId="8" applyNumberFormat="1" applyFont="1" applyFill="1"/>
    <xf numFmtId="49" fontId="5" fillId="8" borderId="3" xfId="0" applyNumberFormat="1" applyFont="1" applyFill="1" applyBorder="1" applyAlignment="1">
      <alignment horizontal="center" vertical="center"/>
    </xf>
    <xf numFmtId="165" fontId="0" fillId="8" borderId="3" xfId="8" applyNumberFormat="1" applyFont="1" applyFill="1" applyBorder="1"/>
    <xf numFmtId="43" fontId="0" fillId="8" borderId="3" xfId="0" applyNumberFormat="1" applyFill="1" applyBorder="1"/>
    <xf numFmtId="43" fontId="0" fillId="8" borderId="3" xfId="8" applyFont="1" applyFill="1" applyBorder="1"/>
    <xf numFmtId="43" fontId="0" fillId="9" borderId="3" xfId="8" applyFont="1" applyFill="1" applyBorder="1"/>
    <xf numFmtId="49" fontId="0" fillId="8" borderId="3" xfId="0" applyNumberFormat="1" applyFill="1" applyBorder="1" applyAlignment="1">
      <alignment horizontal="center"/>
    </xf>
    <xf numFmtId="165" fontId="0" fillId="8" borderId="0" xfId="8" applyNumberFormat="1" applyFont="1" applyFill="1"/>
    <xf numFmtId="49" fontId="0" fillId="8" borderId="4" xfId="0" applyNumberFormat="1" applyFill="1" applyBorder="1" applyAlignment="1">
      <alignment horizontal="center"/>
    </xf>
    <xf numFmtId="169" fontId="0" fillId="8" borderId="0" xfId="8" applyNumberFormat="1" applyFont="1" applyFill="1"/>
    <xf numFmtId="43" fontId="0" fillId="8" borderId="0" xfId="8" applyFont="1" applyFill="1"/>
    <xf numFmtId="43" fontId="3" fillId="8" borderId="3" xfId="8" applyFont="1" applyFill="1" applyBorder="1"/>
    <xf numFmtId="3" fontId="5" fillId="8" borderId="3" xfId="0" applyNumberFormat="1" applyFont="1" applyFill="1" applyBorder="1" applyAlignment="1">
      <alignment vertical="center"/>
    </xf>
    <xf numFmtId="0" fontId="0" fillId="8" borderId="0" xfId="0" applyFill="1"/>
    <xf numFmtId="0" fontId="3" fillId="0" borderId="0" xfId="13" applyBorder="1"/>
    <xf numFmtId="0" fontId="3" fillId="8" borderId="47" xfId="13" applyFill="1" applyBorder="1"/>
    <xf numFmtId="167" fontId="5" fillId="8" borderId="47" xfId="0" applyNumberFormat="1" applyFont="1" applyFill="1" applyBorder="1" applyAlignment="1">
      <alignment horizontal="center" vertical="center"/>
    </xf>
    <xf numFmtId="0" fontId="5" fillId="8" borderId="47" xfId="0" applyFont="1" applyFill="1" applyBorder="1" applyAlignment="1">
      <alignment horizontal="center" vertical="center"/>
    </xf>
    <xf numFmtId="0" fontId="5" fillId="8" borderId="47" xfId="0" applyFont="1" applyFill="1" applyBorder="1" applyAlignment="1">
      <alignment horizontal="center" vertical="center" wrapText="1"/>
    </xf>
    <xf numFmtId="166" fontId="3" fillId="8" borderId="47" xfId="13" applyNumberFormat="1" applyFill="1" applyBorder="1" applyAlignment="1">
      <alignment horizontal="left"/>
    </xf>
    <xf numFmtId="165" fontId="3" fillId="8" borderId="47" xfId="8" applyNumberFormat="1" applyFont="1" applyFill="1" applyBorder="1"/>
    <xf numFmtId="49" fontId="3" fillId="8" borderId="47" xfId="13" applyNumberFormat="1" applyFill="1" applyBorder="1"/>
    <xf numFmtId="165" fontId="5" fillId="8" borderId="47" xfId="8" applyNumberFormat="1" applyFont="1" applyFill="1" applyBorder="1" applyAlignment="1">
      <alignment horizontal="center" vertical="center"/>
    </xf>
    <xf numFmtId="165" fontId="5" fillId="8" borderId="47" xfId="8" applyNumberFormat="1" applyFont="1" applyFill="1" applyBorder="1" applyAlignment="1">
      <alignment horizontal="center" vertical="center" wrapText="1"/>
    </xf>
    <xf numFmtId="165" fontId="0" fillId="8" borderId="47" xfId="8" applyNumberFormat="1" applyFont="1" applyFill="1" applyBorder="1" applyAlignment="1">
      <alignment horizontal="center" vertical="center"/>
    </xf>
    <xf numFmtId="0" fontId="0" fillId="8" borderId="3" xfId="0" applyFill="1" applyBorder="1"/>
    <xf numFmtId="165" fontId="1" fillId="8" borderId="0" xfId="8" applyNumberFormat="1" applyFont="1" applyFill="1"/>
    <xf numFmtId="43" fontId="0" fillId="8" borderId="47" xfId="8" applyFont="1" applyFill="1" applyBorder="1"/>
    <xf numFmtId="43" fontId="0" fillId="9" borderId="47" xfId="8" applyFont="1" applyFill="1" applyBorder="1"/>
    <xf numFmtId="4" fontId="5" fillId="9" borderId="47" xfId="0" applyNumberFormat="1" applyFont="1" applyFill="1" applyBorder="1"/>
    <xf numFmtId="43" fontId="0" fillId="8" borderId="47" xfId="0" applyNumberFormat="1" applyFill="1" applyBorder="1"/>
    <xf numFmtId="165" fontId="0" fillId="8" borderId="47" xfId="8" applyNumberFormat="1" applyFont="1" applyFill="1" applyBorder="1"/>
    <xf numFmtId="43" fontId="1" fillId="8" borderId="0" xfId="8" applyFont="1" applyFill="1"/>
    <xf numFmtId="43" fontId="5" fillId="8" borderId="47" xfId="8" applyFont="1" applyFill="1" applyBorder="1" applyAlignment="1">
      <alignment vertical="center"/>
    </xf>
    <xf numFmtId="43" fontId="1" fillId="8" borderId="0" xfId="19" applyFont="1" applyFill="1"/>
    <xf numFmtId="165" fontId="0" fillId="9" borderId="47" xfId="8" applyNumberFormat="1" applyFont="1" applyFill="1" applyBorder="1"/>
    <xf numFmtId="165" fontId="5" fillId="8" borderId="47" xfId="8" applyNumberFormat="1" applyFont="1" applyFill="1" applyBorder="1" applyAlignment="1">
      <alignment vertical="center"/>
    </xf>
    <xf numFmtId="0" fontId="4" fillId="0" borderId="0" xfId="18" applyFont="1" applyBorder="1" applyAlignment="1">
      <alignment horizontal="center"/>
    </xf>
    <xf numFmtId="0" fontId="1" fillId="8" borderId="47" xfId="18" applyFill="1" applyBorder="1"/>
    <xf numFmtId="167" fontId="0" fillId="8" borderId="47" xfId="0" applyNumberFormat="1" applyFont="1" applyFill="1" applyBorder="1" applyAlignment="1">
      <alignment horizontal="center" vertical="center"/>
    </xf>
    <xf numFmtId="166" fontId="1" fillId="8" borderId="47" xfId="18" applyNumberFormat="1" applyFill="1" applyBorder="1"/>
    <xf numFmtId="165" fontId="1" fillId="8" borderId="47" xfId="19" applyNumberFormat="1" applyFont="1" applyFill="1" applyBorder="1"/>
    <xf numFmtId="165" fontId="1" fillId="8" borderId="47" xfId="8" applyNumberFormat="1" applyFont="1" applyFill="1" applyBorder="1"/>
    <xf numFmtId="0" fontId="4" fillId="8" borderId="47" xfId="18" applyFont="1" applyFill="1" applyBorder="1"/>
    <xf numFmtId="0" fontId="4" fillId="8" borderId="47" xfId="18" applyFont="1" applyFill="1" applyBorder="1" applyAlignment="1">
      <alignment horizontal="center" wrapText="1"/>
    </xf>
    <xf numFmtId="49" fontId="1" fillId="8" borderId="47" xfId="18" applyNumberFormat="1" applyFill="1" applyBorder="1"/>
    <xf numFmtId="43" fontId="1" fillId="8" borderId="47" xfId="19" applyFont="1" applyFill="1" applyBorder="1"/>
    <xf numFmtId="0" fontId="1" fillId="8" borderId="0" xfId="18" applyFill="1"/>
    <xf numFmtId="166" fontId="1" fillId="8" borderId="0" xfId="18" applyNumberFormat="1" applyFill="1"/>
    <xf numFmtId="169" fontId="1" fillId="8" borderId="0" xfId="8" applyNumberFormat="1" applyFont="1" applyFill="1"/>
    <xf numFmtId="169" fontId="1" fillId="8" borderId="47" xfId="8" applyNumberFormat="1" applyFont="1" applyFill="1" applyBorder="1"/>
    <xf numFmtId="0" fontId="0" fillId="8" borderId="47" xfId="0" applyFill="1" applyBorder="1"/>
    <xf numFmtId="165" fontId="4" fillId="0" borderId="0" xfId="8" applyNumberFormat="1" applyFont="1" applyBorder="1" applyAlignment="1">
      <alignment horizontal="center"/>
    </xf>
    <xf numFmtId="167" fontId="5" fillId="0" borderId="47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166" fontId="3" fillId="8" borderId="47" xfId="13" applyNumberFormat="1" applyFill="1" applyBorder="1"/>
    <xf numFmtId="43" fontId="3" fillId="8" borderId="47" xfId="14" applyFont="1" applyFill="1" applyBorder="1"/>
    <xf numFmtId="169" fontId="3" fillId="8" borderId="47" xfId="8" applyNumberFormat="1" applyFont="1" applyFill="1" applyBorder="1"/>
    <xf numFmtId="0" fontId="3" fillId="0" borderId="0" xfId="13" applyFill="1"/>
    <xf numFmtId="169" fontId="3" fillId="0" borderId="0" xfId="8" applyNumberFormat="1" applyFont="1" applyFill="1"/>
    <xf numFmtId="165" fontId="3" fillId="8" borderId="47" xfId="14" applyNumberFormat="1" applyFont="1" applyFill="1" applyBorder="1"/>
    <xf numFmtId="49" fontId="5" fillId="8" borderId="47" xfId="0" applyNumberFormat="1" applyFont="1" applyFill="1" applyBorder="1" applyAlignment="1">
      <alignment horizontal="center" vertical="center"/>
    </xf>
    <xf numFmtId="49" fontId="5" fillId="8" borderId="47" xfId="0" applyNumberFormat="1" applyFont="1" applyFill="1" applyBorder="1" applyAlignment="1">
      <alignment horizontal="center" vertical="center" wrapText="1"/>
    </xf>
    <xf numFmtId="165" fontId="0" fillId="9" borderId="3" xfId="8" applyNumberFormat="1" applyFont="1" applyFill="1" applyBorder="1"/>
    <xf numFmtId="0" fontId="7" fillId="0" borderId="3" xfId="0" applyFont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wrapText="1"/>
    </xf>
    <xf numFmtId="0" fontId="1" fillId="8" borderId="3" xfId="0" applyFont="1" applyFill="1" applyBorder="1" applyAlignment="1">
      <alignment horizontal="center" wrapText="1"/>
    </xf>
    <xf numFmtId="43" fontId="3" fillId="8" borderId="47" xfId="8" applyFont="1" applyFill="1" applyBorder="1"/>
    <xf numFmtId="0" fontId="7" fillId="8" borderId="3" xfId="0" applyFont="1" applyFill="1" applyBorder="1" applyAlignment="1">
      <alignment horizontal="center" vertical="center" wrapText="1"/>
    </xf>
    <xf numFmtId="168" fontId="5" fillId="8" borderId="3" xfId="1" applyNumberFormat="1" applyFill="1" applyBorder="1" applyAlignment="1">
      <alignment horizontal="center" vertical="center" wrapText="1"/>
    </xf>
    <xf numFmtId="168" fontId="0" fillId="8" borderId="3" xfId="15" applyNumberFormat="1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0" fillId="8" borderId="47" xfId="0" applyFill="1" applyBorder="1" applyAlignment="1">
      <alignment vertical="center" wrapText="1"/>
    </xf>
    <xf numFmtId="0" fontId="0" fillId="8" borderId="47" xfId="0" applyFill="1" applyBorder="1" applyAlignment="1">
      <alignment horizontal="center" vertical="center" wrapText="1"/>
    </xf>
    <xf numFmtId="0" fontId="5" fillId="8" borderId="47" xfId="0" applyFont="1" applyFill="1" applyBorder="1" applyAlignment="1">
      <alignment horizontal="left" vertical="center"/>
    </xf>
    <xf numFmtId="3" fontId="5" fillId="8" borderId="47" xfId="0" applyNumberFormat="1" applyFont="1" applyFill="1" applyBorder="1" applyAlignment="1">
      <alignment vertical="center"/>
    </xf>
    <xf numFmtId="0" fontId="0" fillId="8" borderId="48" xfId="0" applyFill="1" applyBorder="1"/>
    <xf numFmtId="165" fontId="0" fillId="8" borderId="0" xfId="8" applyNumberFormat="1" applyFont="1" applyFill="1" applyBorder="1"/>
    <xf numFmtId="168" fontId="1" fillId="0" borderId="0" xfId="18" applyNumberFormat="1"/>
    <xf numFmtId="169" fontId="0" fillId="8" borderId="47" xfId="8" applyNumberFormat="1" applyFont="1" applyFill="1" applyBorder="1"/>
    <xf numFmtId="0" fontId="7" fillId="8" borderId="47" xfId="0" applyFont="1" applyFill="1" applyBorder="1" applyAlignment="1">
      <alignment horizontal="center" vertical="center" wrapText="1"/>
    </xf>
    <xf numFmtId="0" fontId="7" fillId="9" borderId="47" xfId="0" applyFont="1" applyFill="1" applyBorder="1" applyAlignment="1">
      <alignment horizontal="center" vertical="center" wrapText="1"/>
    </xf>
    <xf numFmtId="169" fontId="0" fillId="9" borderId="47" xfId="8" applyNumberFormat="1" applyFont="1" applyFill="1" applyBorder="1"/>
    <xf numFmtId="0" fontId="0" fillId="8" borderId="3" xfId="0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1" fillId="8" borderId="47" xfId="0" applyFont="1" applyFill="1" applyBorder="1" applyAlignment="1">
      <alignment horizontal="center" wrapText="1"/>
    </xf>
    <xf numFmtId="43" fontId="1" fillId="8" borderId="47" xfId="8" applyFont="1" applyFill="1" applyBorder="1"/>
    <xf numFmtId="0" fontId="1" fillId="8" borderId="47" xfId="18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8" fillId="0" borderId="0" xfId="0" applyFont="1" applyFill="1" applyAlignment="1"/>
    <xf numFmtId="49" fontId="27" fillId="0" borderId="0" xfId="0" applyNumberFormat="1" applyFont="1" applyFill="1" applyBorder="1" applyAlignment="1">
      <alignment vertical="top" wrapText="1"/>
    </xf>
    <xf numFmtId="49" fontId="27" fillId="0" borderId="0" xfId="0" applyNumberFormat="1" applyFont="1" applyFill="1" applyBorder="1" applyAlignment="1">
      <alignment horizontal="left" vertical="top" wrapText="1"/>
    </xf>
    <xf numFmtId="49" fontId="27" fillId="0" borderId="0" xfId="0" applyNumberFormat="1" applyFont="1" applyFill="1" applyBorder="1" applyAlignment="1">
      <alignment horizontal="left" vertical="top"/>
    </xf>
    <xf numFmtId="0" fontId="0" fillId="8" borderId="47" xfId="0" applyFont="1" applyFill="1" applyBorder="1" applyAlignment="1">
      <alignment horizontal="left" vertical="center"/>
    </xf>
    <xf numFmtId="0" fontId="1" fillId="0" borderId="0" xfId="18" applyAlignment="1">
      <alignment horizontal="left" vertical="top"/>
    </xf>
    <xf numFmtId="43" fontId="3" fillId="0" borderId="0" xfId="8" applyFont="1" applyFill="1"/>
    <xf numFmtId="165" fontId="3" fillId="0" borderId="47" xfId="8" applyNumberFormat="1" applyFont="1" applyBorder="1"/>
    <xf numFmtId="0" fontId="3" fillId="0" borderId="47" xfId="13" applyBorder="1" applyAlignment="1">
      <alignment horizontal="center" vertical="center"/>
    </xf>
    <xf numFmtId="0" fontId="3" fillId="0" borderId="47" xfId="13" applyBorder="1" applyAlignment="1">
      <alignment vertical="center"/>
    </xf>
    <xf numFmtId="0" fontId="1" fillId="0" borderId="47" xfId="13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165" fontId="7" fillId="0" borderId="0" xfId="8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1" fillId="0" borderId="47" xfId="0" applyNumberFormat="1" applyFont="1" applyBorder="1"/>
    <xf numFmtId="3" fontId="1" fillId="10" borderId="47" xfId="0" applyNumberFormat="1" applyFont="1" applyFill="1" applyBorder="1"/>
    <xf numFmtId="0" fontId="7" fillId="0" borderId="0" xfId="0" applyFont="1" applyFill="1" applyBorder="1" applyAlignment="1">
      <alignment vertical="top" wrapText="1"/>
    </xf>
    <xf numFmtId="0" fontId="14" fillId="3" borderId="49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49" xfId="0" applyFont="1" applyFill="1" applyBorder="1" applyAlignment="1">
      <alignment horizontal="left" vertical="center" wrapText="1"/>
    </xf>
    <xf numFmtId="0" fontId="14" fillId="3" borderId="50" xfId="0" applyFont="1" applyFill="1" applyBorder="1" applyAlignment="1">
      <alignment horizontal="left" vertical="center" wrapText="1"/>
    </xf>
    <xf numFmtId="0" fontId="2" fillId="11" borderId="3" xfId="0" applyFont="1" applyFill="1" applyBorder="1" applyAlignment="1">
      <alignment horizontal="center" wrapText="1"/>
    </xf>
    <xf numFmtId="0" fontId="1" fillId="11" borderId="0" xfId="0" applyFont="1" applyFill="1" applyBorder="1" applyAlignment="1">
      <alignment horizontal="center" wrapText="1"/>
    </xf>
    <xf numFmtId="43" fontId="3" fillId="11" borderId="0" xfId="8" applyFont="1" applyFill="1" applyBorder="1"/>
    <xf numFmtId="165" fontId="24" fillId="0" borderId="0" xfId="8" applyNumberFormat="1" applyFont="1"/>
    <xf numFmtId="0" fontId="1" fillId="8" borderId="0" xfId="18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 vertical="center" wrapText="1"/>
    </xf>
    <xf numFmtId="169" fontId="0" fillId="9" borderId="0" xfId="8" applyNumberFormat="1" applyFont="1" applyFill="1" applyBorder="1"/>
    <xf numFmtId="0" fontId="7" fillId="8" borderId="48" xfId="0" applyFont="1" applyFill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165" fontId="24" fillId="9" borderId="47" xfId="8" applyNumberFormat="1" applyFont="1" applyFill="1" applyBorder="1"/>
    <xf numFmtId="0" fontId="28" fillId="0" borderId="47" xfId="0" applyFont="1" applyBorder="1" applyAlignment="1">
      <alignment horizontal="center" vertical="center"/>
    </xf>
    <xf numFmtId="165" fontId="24" fillId="8" borderId="47" xfId="8" applyNumberFormat="1" applyFont="1" applyFill="1" applyBorder="1"/>
    <xf numFmtId="0" fontId="7" fillId="8" borderId="0" xfId="0" applyFont="1" applyFill="1" applyBorder="1" applyAlignment="1">
      <alignment horizontal="center" vertical="center" wrapText="1"/>
    </xf>
    <xf numFmtId="0" fontId="1" fillId="11" borderId="0" xfId="18" applyFill="1"/>
    <xf numFmtId="165" fontId="1" fillId="10" borderId="47" xfId="8" applyNumberFormat="1" applyFont="1" applyFill="1" applyBorder="1"/>
    <xf numFmtId="43" fontId="0" fillId="12" borderId="0" xfId="8" applyFont="1" applyFill="1"/>
    <xf numFmtId="165" fontId="0" fillId="12" borderId="0" xfId="8" applyNumberFormat="1" applyFont="1" applyFill="1"/>
    <xf numFmtId="169" fontId="0" fillId="12" borderId="0" xfId="8" applyNumberFormat="1" applyFont="1" applyFill="1"/>
    <xf numFmtId="43" fontId="0" fillId="12" borderId="0" xfId="8" applyNumberFormat="1" applyFont="1" applyFill="1"/>
    <xf numFmtId="165" fontId="5" fillId="12" borderId="47" xfId="8" applyNumberFormat="1" applyFont="1" applyFill="1" applyBorder="1" applyAlignment="1">
      <alignment horizontal="center" vertical="center"/>
    </xf>
    <xf numFmtId="165" fontId="5" fillId="12" borderId="47" xfId="8" applyNumberFormat="1" applyFont="1" applyFill="1" applyBorder="1" applyAlignment="1">
      <alignment vertical="center"/>
    </xf>
    <xf numFmtId="0" fontId="1" fillId="12" borderId="0" xfId="18" applyFont="1" applyFill="1"/>
    <xf numFmtId="165" fontId="1" fillId="12" borderId="0" xfId="8" applyNumberFormat="1" applyFont="1" applyFill="1"/>
    <xf numFmtId="0" fontId="0" fillId="12" borderId="47" xfId="0" applyFill="1" applyBorder="1"/>
    <xf numFmtId="0" fontId="1" fillId="12" borderId="0" xfId="18" applyFill="1"/>
    <xf numFmtId="0" fontId="0" fillId="0" borderId="47" xfId="0" applyFill="1" applyBorder="1"/>
    <xf numFmtId="165" fontId="0" fillId="12" borderId="47" xfId="8" applyNumberFormat="1" applyFont="1" applyFill="1" applyBorder="1"/>
    <xf numFmtId="43" fontId="5" fillId="12" borderId="47" xfId="8" applyFont="1" applyFill="1" applyBorder="1" applyAlignment="1">
      <alignment vertical="center"/>
    </xf>
    <xf numFmtId="3" fontId="5" fillId="12" borderId="47" xfId="0" applyNumberFormat="1" applyFont="1" applyFill="1" applyBorder="1" applyAlignment="1">
      <alignment vertical="center"/>
    </xf>
    <xf numFmtId="43" fontId="1" fillId="12" borderId="0" xfId="8" applyFont="1" applyFill="1"/>
    <xf numFmtId="0" fontId="7" fillId="12" borderId="48" xfId="0" applyFont="1" applyFill="1" applyBorder="1" applyAlignment="1">
      <alignment horizontal="center" vertical="center" wrapText="1"/>
    </xf>
    <xf numFmtId="0" fontId="7" fillId="12" borderId="0" xfId="0" applyFont="1" applyFill="1" applyBorder="1" applyAlignment="1">
      <alignment horizontal="center" vertical="center" wrapText="1"/>
    </xf>
    <xf numFmtId="169" fontId="0" fillId="12" borderId="0" xfId="8" applyNumberFormat="1" applyFont="1" applyFill="1" applyBorder="1"/>
    <xf numFmtId="43" fontId="1" fillId="11" borderId="47" xfId="8" applyFont="1" applyFill="1" applyBorder="1"/>
    <xf numFmtId="43" fontId="1" fillId="11" borderId="0" xfId="8" applyFont="1" applyFill="1" applyBorder="1"/>
    <xf numFmtId="0" fontId="0" fillId="11" borderId="47" xfId="0" applyFill="1" applyBorder="1" applyAlignment="1">
      <alignment horizontal="center" vertical="center" wrapText="1"/>
    </xf>
    <xf numFmtId="0" fontId="5" fillId="11" borderId="47" xfId="0" applyFont="1" applyFill="1" applyBorder="1" applyAlignment="1">
      <alignment horizontal="left" vertical="center"/>
    </xf>
    <xf numFmtId="0" fontId="0" fillId="12" borderId="47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3" fontId="5" fillId="12" borderId="3" xfId="0" applyNumberFormat="1" applyFont="1" applyFill="1" applyBorder="1" applyAlignment="1">
      <alignment vertical="center"/>
    </xf>
    <xf numFmtId="43" fontId="3" fillId="12" borderId="47" xfId="8" applyFont="1" applyFill="1" applyBorder="1"/>
    <xf numFmtId="0" fontId="1" fillId="11" borderId="47" xfId="13" applyFont="1" applyFill="1" applyBorder="1"/>
    <xf numFmtId="0" fontId="1" fillId="12" borderId="47" xfId="13" applyFont="1" applyFill="1" applyBorder="1"/>
    <xf numFmtId="165" fontId="3" fillId="12" borderId="47" xfId="8" applyNumberFormat="1" applyFont="1" applyFill="1" applyBorder="1"/>
    <xf numFmtId="0" fontId="1" fillId="12" borderId="0" xfId="0" applyFont="1" applyFill="1" applyBorder="1" applyAlignment="1">
      <alignment horizontal="center" wrapText="1"/>
    </xf>
    <xf numFmtId="43" fontId="3" fillId="12" borderId="0" xfId="8" applyFont="1" applyFill="1" applyBorder="1"/>
    <xf numFmtId="0" fontId="7" fillId="11" borderId="0" xfId="0" applyFont="1" applyFill="1" applyBorder="1" applyAlignment="1">
      <alignment horizontal="center" vertical="center" wrapText="1"/>
    </xf>
    <xf numFmtId="168" fontId="0" fillId="11" borderId="0" xfId="15" applyNumberFormat="1" applyFont="1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165" fontId="0" fillId="12" borderId="0" xfId="8" applyNumberFormat="1" applyFont="1" applyFill="1" applyBorder="1"/>
    <xf numFmtId="0" fontId="0" fillId="11" borderId="3" xfId="0" applyFill="1" applyBorder="1" applyAlignment="1">
      <alignment horizontal="center" vertical="center"/>
    </xf>
    <xf numFmtId="165" fontId="0" fillId="11" borderId="47" xfId="8" applyNumberFormat="1" applyFont="1" applyFill="1" applyBorder="1"/>
    <xf numFmtId="0" fontId="0" fillId="11" borderId="0" xfId="0" applyFill="1" applyBorder="1" applyAlignment="1">
      <alignment horizontal="center" vertical="center"/>
    </xf>
    <xf numFmtId="165" fontId="0" fillId="11" borderId="0" xfId="8" applyNumberFormat="1" applyFont="1" applyFill="1" applyBorder="1"/>
    <xf numFmtId="165" fontId="0" fillId="11" borderId="3" xfId="8" applyNumberFormat="1" applyFont="1" applyFill="1" applyBorder="1"/>
    <xf numFmtId="166" fontId="0" fillId="11" borderId="3" xfId="0" applyNumberFormat="1" applyFill="1" applyBorder="1" applyAlignment="1">
      <alignment horizontal="center"/>
    </xf>
    <xf numFmtId="165" fontId="1" fillId="11" borderId="0" xfId="8" applyNumberFormat="1" applyFont="1" applyFill="1"/>
    <xf numFmtId="165" fontId="3" fillId="11" borderId="0" xfId="8" applyNumberFormat="1" applyFont="1" applyFill="1"/>
    <xf numFmtId="165" fontId="0" fillId="11" borderId="0" xfId="8" applyNumberFormat="1" applyFont="1" applyFill="1"/>
    <xf numFmtId="0" fontId="0" fillId="13" borderId="3" xfId="0" applyFill="1" applyBorder="1" applyAlignment="1">
      <alignment horizontal="center"/>
    </xf>
    <xf numFmtId="165" fontId="0" fillId="13" borderId="3" xfId="8" applyNumberFormat="1" applyFont="1" applyFill="1" applyBorder="1"/>
    <xf numFmtId="165" fontId="0" fillId="13" borderId="47" xfId="8" applyNumberFormat="1" applyFont="1" applyFill="1" applyBorder="1"/>
    <xf numFmtId="165" fontId="0" fillId="13" borderId="0" xfId="8" applyNumberFormat="1" applyFont="1" applyFill="1"/>
    <xf numFmtId="0" fontId="1" fillId="12" borderId="0" xfId="18" applyFont="1" applyFill="1" applyBorder="1" applyAlignment="1">
      <alignment horizontal="center"/>
    </xf>
    <xf numFmtId="43" fontId="1" fillId="12" borderId="47" xfId="8" applyFont="1" applyFill="1" applyBorder="1"/>
    <xf numFmtId="43" fontId="1" fillId="12" borderId="0" xfId="8" applyFont="1" applyFill="1" applyBorder="1"/>
    <xf numFmtId="49" fontId="5" fillId="11" borderId="3" xfId="0" applyNumberFormat="1" applyFont="1" applyFill="1" applyBorder="1" applyAlignment="1">
      <alignment horizontal="center" vertical="center"/>
    </xf>
    <xf numFmtId="49" fontId="5" fillId="11" borderId="47" xfId="0" applyNumberFormat="1" applyFont="1" applyFill="1" applyBorder="1" applyAlignment="1">
      <alignment horizontal="center" vertical="center"/>
    </xf>
    <xf numFmtId="49" fontId="0" fillId="11" borderId="47" xfId="0" applyNumberFormat="1" applyFill="1" applyBorder="1" applyAlignment="1">
      <alignment horizontal="center"/>
    </xf>
    <xf numFmtId="49" fontId="0" fillId="11" borderId="3" xfId="0" applyNumberFormat="1" applyFill="1" applyBorder="1" applyAlignment="1">
      <alignment horizontal="center"/>
    </xf>
    <xf numFmtId="165" fontId="18" fillId="11" borderId="0" xfId="8" applyNumberFormat="1" applyFont="1" applyFill="1" applyBorder="1"/>
    <xf numFmtId="43" fontId="0" fillId="11" borderId="0" xfId="8" applyFont="1" applyFill="1"/>
    <xf numFmtId="43" fontId="18" fillId="11" borderId="0" xfId="8" applyFont="1" applyFill="1" applyBorder="1"/>
    <xf numFmtId="43" fontId="0" fillId="11" borderId="0" xfId="8" applyFont="1" applyFill="1" applyBorder="1"/>
    <xf numFmtId="4" fontId="0" fillId="11" borderId="0" xfId="0" applyNumberFormat="1" applyFill="1" applyBorder="1" applyAlignment="1">
      <alignment vertical="center"/>
    </xf>
    <xf numFmtId="0" fontId="29" fillId="3" borderId="55" xfId="0" applyFont="1" applyFill="1" applyBorder="1" applyAlignment="1">
      <alignment horizontal="left" vertical="top" wrapText="1"/>
    </xf>
    <xf numFmtId="3" fontId="29" fillId="4" borderId="55" xfId="0" applyNumberFormat="1" applyFont="1" applyFill="1" applyBorder="1" applyAlignment="1">
      <alignment horizontal="center" vertical="top" wrapText="1"/>
    </xf>
    <xf numFmtId="0" fontId="29" fillId="3" borderId="50" xfId="0" applyFont="1" applyFill="1" applyBorder="1" applyAlignment="1">
      <alignment horizontal="left" vertical="top" wrapText="1"/>
    </xf>
    <xf numFmtId="0" fontId="29" fillId="4" borderId="50" xfId="0" applyFont="1" applyFill="1" applyBorder="1" applyAlignment="1">
      <alignment horizontal="center" vertical="top" wrapText="1"/>
    </xf>
    <xf numFmtId="3" fontId="29" fillId="4" borderId="50" xfId="0" applyNumberFormat="1" applyFont="1" applyFill="1" applyBorder="1" applyAlignment="1">
      <alignment horizontal="center" vertical="top" wrapText="1"/>
    </xf>
    <xf numFmtId="0" fontId="30" fillId="4" borderId="50" xfId="0" applyFont="1" applyFill="1" applyBorder="1" applyAlignment="1">
      <alignment horizontal="center" vertical="top" wrapText="1"/>
    </xf>
    <xf numFmtId="43" fontId="29" fillId="4" borderId="50" xfId="8" applyFont="1" applyFill="1" applyBorder="1" applyAlignment="1">
      <alignment horizontal="center" vertical="top" wrapText="1"/>
    </xf>
    <xf numFmtId="43" fontId="0" fillId="0" borderId="6" xfId="8" applyFont="1" applyBorder="1"/>
    <xf numFmtId="14" fontId="17" fillId="6" borderId="19" xfId="11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7" borderId="39" xfId="11" applyFont="1" applyFill="1" applyBorder="1" applyAlignment="1">
      <alignment horizontal="center" vertical="center"/>
    </xf>
    <xf numFmtId="167" fontId="14" fillId="4" borderId="24" xfId="0" applyNumberFormat="1" applyFont="1" applyFill="1" applyBorder="1" applyAlignment="1">
      <alignment horizontal="center" vertical="center" wrapText="1"/>
    </xf>
    <xf numFmtId="167" fontId="0" fillId="0" borderId="24" xfId="0" applyNumberFormat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170" fontId="14" fillId="7" borderId="34" xfId="8" applyNumberFormat="1" applyFont="1" applyFill="1" applyBorder="1" applyAlignment="1">
      <alignment horizontal="center" vertical="center"/>
    </xf>
    <xf numFmtId="170" fontId="0" fillId="7" borderId="24" xfId="8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3" fontId="5" fillId="7" borderId="35" xfId="13" applyNumberFormat="1" applyFont="1" applyFill="1" applyBorder="1" applyAlignment="1">
      <alignment vertical="center"/>
    </xf>
    <xf numFmtId="3" fontId="14" fillId="4" borderId="24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68" fontId="16" fillId="7" borderId="37" xfId="11" applyNumberFormat="1" applyFont="1" applyFill="1" applyBorder="1" applyAlignment="1" applyProtection="1">
      <alignment horizontal="center" vertical="center"/>
    </xf>
    <xf numFmtId="168" fontId="16" fillId="7" borderId="38" xfId="11" applyNumberFormat="1" applyFont="1" applyFill="1" applyBorder="1" applyAlignment="1" applyProtection="1">
      <alignment horizontal="center" vertical="center"/>
    </xf>
    <xf numFmtId="3" fontId="16" fillId="7" borderId="24" xfId="11" applyNumberFormat="1" applyFont="1" applyFill="1" applyBorder="1" applyAlignment="1" applyProtection="1">
      <alignment horizontal="center" vertical="center"/>
    </xf>
    <xf numFmtId="3" fontId="5" fillId="7" borderId="33" xfId="13" applyNumberFormat="1" applyFont="1" applyFill="1" applyBorder="1" applyAlignment="1">
      <alignment vertical="center"/>
    </xf>
    <xf numFmtId="171" fontId="16" fillId="7" borderId="24" xfId="11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5" fillId="7" borderId="36" xfId="11" applyFont="1" applyFill="1" applyBorder="1" applyAlignment="1">
      <alignment horizontal="center" vertical="center"/>
    </xf>
    <xf numFmtId="171" fontId="16" fillId="7" borderId="34" xfId="11" applyNumberFormat="1" applyFont="1" applyFill="1" applyBorder="1" applyAlignment="1" applyProtection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5" fillId="7" borderId="40" xfId="13" applyNumberFormat="1" applyFont="1" applyFill="1" applyBorder="1" applyAlignment="1">
      <alignment vertical="center"/>
    </xf>
    <xf numFmtId="0" fontId="0" fillId="0" borderId="3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5" fillId="7" borderId="42" xfId="11" applyFont="1" applyFill="1" applyBorder="1" applyAlignment="1">
      <alignment horizontal="center" vertical="center"/>
    </xf>
    <xf numFmtId="168" fontId="16" fillId="7" borderId="52" xfId="11" applyNumberFormat="1" applyFont="1" applyFill="1" applyBorder="1" applyAlignment="1" applyProtection="1">
      <alignment horizontal="center" vertical="center"/>
    </xf>
    <xf numFmtId="3" fontId="16" fillId="7" borderId="41" xfId="11" applyNumberFormat="1" applyFont="1" applyFill="1" applyBorder="1" applyAlignment="1" applyProtection="1">
      <alignment horizontal="center" vertical="center"/>
    </xf>
    <xf numFmtId="0" fontId="14" fillId="2" borderId="18" xfId="0" applyFont="1" applyFill="1" applyBorder="1" applyAlignment="1">
      <alignment horizontal="center" vertical="center" wrapText="1"/>
    </xf>
    <xf numFmtId="167" fontId="16" fillId="7" borderId="34" xfId="11" applyNumberFormat="1" applyFont="1" applyFill="1" applyBorder="1" applyAlignment="1" applyProtection="1">
      <alignment horizontal="center" vertical="center"/>
    </xf>
    <xf numFmtId="167" fontId="16" fillId="7" borderId="24" xfId="11" applyNumberFormat="1" applyFont="1" applyFill="1" applyBorder="1" applyAlignment="1" applyProtection="1">
      <alignment horizontal="center" vertical="center"/>
    </xf>
    <xf numFmtId="1" fontId="16" fillId="7" borderId="24" xfId="11" applyNumberFormat="1" applyFont="1" applyFill="1" applyBorder="1" applyAlignment="1" applyProtection="1">
      <alignment horizontal="center" vertical="center"/>
    </xf>
    <xf numFmtId="1" fontId="16" fillId="7" borderId="41" xfId="11" applyNumberFormat="1" applyFont="1" applyFill="1" applyBorder="1" applyAlignment="1" applyProtection="1">
      <alignment horizontal="center" vertical="center"/>
    </xf>
    <xf numFmtId="171" fontId="14" fillId="4" borderId="24" xfId="0" applyNumberFormat="1" applyFont="1" applyFill="1" applyBorder="1" applyAlignment="1">
      <alignment horizontal="center" vertical="center" wrapText="1"/>
    </xf>
    <xf numFmtId="171" fontId="0" fillId="0" borderId="24" xfId="0" applyNumberFormat="1" applyBorder="1" applyAlignment="1">
      <alignment horizontal="center" vertical="center" wrapText="1"/>
    </xf>
    <xf numFmtId="3" fontId="0" fillId="0" borderId="24" xfId="0" applyNumberFormat="1" applyBorder="1" applyAlignment="1">
      <alignment horizontal="center" vertical="center" wrapText="1"/>
    </xf>
    <xf numFmtId="171" fontId="14" fillId="7" borderId="34" xfId="8" applyNumberFormat="1" applyFont="1" applyFill="1" applyBorder="1" applyAlignment="1">
      <alignment horizontal="center" vertical="center"/>
    </xf>
    <xf numFmtId="171" fontId="0" fillId="7" borderId="24" xfId="8" applyNumberFormat="1" applyFont="1" applyFill="1" applyBorder="1" applyAlignment="1">
      <alignment horizontal="center" vertical="center"/>
    </xf>
    <xf numFmtId="3" fontId="0" fillId="0" borderId="41" xfId="0" applyNumberFormat="1" applyBorder="1" applyAlignment="1">
      <alignment horizontal="center" vertical="center" wrapText="1"/>
    </xf>
    <xf numFmtId="168" fontId="16" fillId="7" borderId="43" xfId="11" applyNumberFormat="1" applyFont="1" applyFill="1" applyBorder="1" applyAlignment="1" applyProtection="1">
      <alignment horizontal="center" vertical="center"/>
    </xf>
    <xf numFmtId="3" fontId="5" fillId="7" borderId="44" xfId="13" applyNumberFormat="1" applyFont="1" applyFill="1" applyBorder="1" applyAlignment="1">
      <alignment vertical="center"/>
    </xf>
    <xf numFmtId="3" fontId="5" fillId="7" borderId="45" xfId="13" applyNumberFormat="1" applyFont="1" applyFill="1" applyBorder="1" applyAlignment="1">
      <alignment vertical="center"/>
    </xf>
    <xf numFmtId="3" fontId="14" fillId="4" borderId="24" xfId="0" applyNumberFormat="1" applyFont="1" applyFill="1" applyBorder="1" applyAlignment="1">
      <alignment horizontal="left" vertical="center" wrapText="1" indent="2"/>
    </xf>
    <xf numFmtId="3" fontId="0" fillId="0" borderId="41" xfId="0" applyNumberFormat="1" applyBorder="1" applyAlignment="1">
      <alignment horizontal="left" vertical="center" wrapText="1" indent="2"/>
    </xf>
    <xf numFmtId="0" fontId="15" fillId="7" borderId="53" xfId="11" applyFont="1" applyFill="1" applyBorder="1" applyAlignment="1">
      <alignment vertical="center"/>
    </xf>
    <xf numFmtId="0" fontId="15" fillId="7" borderId="54" xfId="11" applyFont="1" applyFill="1" applyBorder="1" applyAlignment="1">
      <alignment vertical="center"/>
    </xf>
    <xf numFmtId="3" fontId="5" fillId="7" borderId="33" xfId="18" applyNumberFormat="1" applyFont="1" applyFill="1" applyBorder="1" applyAlignment="1">
      <alignment vertical="center"/>
    </xf>
    <xf numFmtId="3" fontId="5" fillId="7" borderId="35" xfId="18" applyNumberFormat="1" applyFont="1" applyFill="1" applyBorder="1" applyAlignment="1">
      <alignment vertical="center"/>
    </xf>
    <xf numFmtId="3" fontId="5" fillId="7" borderId="40" xfId="18" applyNumberFormat="1" applyFont="1" applyFill="1" applyBorder="1" applyAlignment="1">
      <alignment vertical="center"/>
    </xf>
    <xf numFmtId="0" fontId="4" fillId="0" borderId="0" xfId="13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0" borderId="0" xfId="13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165" fontId="4" fillId="0" borderId="0" xfId="8" applyNumberFormat="1" applyFont="1" applyBorder="1" applyAlignment="1">
      <alignment horizontal="center" wrapText="1"/>
    </xf>
    <xf numFmtId="165" fontId="7" fillId="0" borderId="0" xfId="8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4" fillId="0" borderId="5" xfId="13" applyFont="1" applyBorder="1" applyAlignment="1">
      <alignment horizontal="center" wrapText="1"/>
    </xf>
    <xf numFmtId="0" fontId="0" fillId="0" borderId="5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0" fillId="13" borderId="13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0">
    <cellStyle name="Comma" xfId="8" builtinId="3"/>
    <cellStyle name="Comma 2" xfId="2" xr:uid="{00000000-0005-0000-0000-000001000000}"/>
    <cellStyle name="Comma 3" xfId="12" xr:uid="{00000000-0005-0000-0000-000002000000}"/>
    <cellStyle name="Comma 4" xfId="14" xr:uid="{00000000-0005-0000-0000-000003000000}"/>
    <cellStyle name="Comma 4 2" xfId="19" xr:uid="{00000000-0005-0000-0000-000004000000}"/>
    <cellStyle name="Comma 6 2" xfId="6" xr:uid="{00000000-0005-0000-0000-000005000000}"/>
    <cellStyle name="Comma 8" xfId="7" xr:uid="{00000000-0005-0000-0000-000006000000}"/>
    <cellStyle name="Followed Hyperlink" xfId="17" builtinId="9" hidden="1"/>
    <cellStyle name="Hyperlink" xfId="16" builtinId="8" hidden="1"/>
    <cellStyle name="Neutral 2" xfId="10" xr:uid="{00000000-0005-0000-0000-000009000000}"/>
    <cellStyle name="Normal" xfId="0" builtinId="0"/>
    <cellStyle name="Normal 2" xfId="1" xr:uid="{00000000-0005-0000-0000-00000B000000}"/>
    <cellStyle name="Normal 2 2" xfId="4" xr:uid="{00000000-0005-0000-0000-00000C000000}"/>
    <cellStyle name="Normal 3" xfId="9" xr:uid="{00000000-0005-0000-0000-00000D000000}"/>
    <cellStyle name="Normal 3 2" xfId="11" xr:uid="{00000000-0005-0000-0000-00000E000000}"/>
    <cellStyle name="Normal 4" xfId="3" xr:uid="{00000000-0005-0000-0000-00000F000000}"/>
    <cellStyle name="Normal 5" xfId="13" xr:uid="{00000000-0005-0000-0000-000010000000}"/>
    <cellStyle name="Normal 5 2" xfId="18" xr:uid="{00000000-0005-0000-0000-000011000000}"/>
    <cellStyle name="Percent" xfId="15" builtinId="5"/>
    <cellStyle name="Percent 2" xfId="5" xr:uid="{00000000-0005-0000-0000-000013000000}"/>
  </cellStyles>
  <dxfs count="0"/>
  <tableStyles count="0" defaultTableStyle="TableStyleMedium2" defaultPivotStyle="PivotStyleLight16"/>
  <colors>
    <mruColors>
      <color rgb="FFFFF3CD"/>
      <color rgb="FFB59DF7"/>
      <color rgb="FFFFCC66"/>
      <color rgb="FFF2F0DA"/>
      <color rgb="FFFFCC99"/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ASDC Multi-Year Total Archive Volume Trend</a:t>
            </a:r>
          </a:p>
        </c:rich>
      </c:tx>
      <c:layout>
        <c:manualLayout>
          <c:xMode val="edge"/>
          <c:yMode val="edge"/>
          <c:x val="0.24570670526573293"/>
          <c:y val="3.8412164179891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data!$B$156</c:f>
              <c:strCache>
                <c:ptCount val="1"/>
                <c:pt idx="0">
                  <c:v>ASDC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data!$A$157:$A$170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data!$B$157:$B$170</c:f>
              <c:numCache>
                <c:formatCode>_(* #,##0.00_);_(* \(#,##0.00\);_(* "-"??_);_(@_)</c:formatCode>
                <c:ptCount val="14"/>
                <c:pt idx="0">
                  <c:v>1828.7103789062501</c:v>
                </c:pt>
                <c:pt idx="1">
                  <c:v>2359.018</c:v>
                </c:pt>
                <c:pt idx="2">
                  <c:v>2082.8297632890626</c:v>
                </c:pt>
                <c:pt idx="3">
                  <c:v>1780.1082324218751</c:v>
                </c:pt>
                <c:pt idx="4">
                  <c:v>2167.0134765624998</c:v>
                </c:pt>
                <c:pt idx="5">
                  <c:v>2806.56</c:v>
                </c:pt>
                <c:pt idx="6">
                  <c:v>3268.5614688254918</c:v>
                </c:pt>
                <c:pt idx="7">
                  <c:v>3475</c:v>
                </c:pt>
                <c:pt idx="8">
                  <c:v>4159.7939453125</c:v>
                </c:pt>
                <c:pt idx="9">
                  <c:v>4179.5</c:v>
                </c:pt>
                <c:pt idx="10">
                  <c:v>5008.96</c:v>
                </c:pt>
                <c:pt idx="11">
                  <c:v>5554.9</c:v>
                </c:pt>
                <c:pt idx="12">
                  <c:v>5691.55</c:v>
                </c:pt>
                <c:pt idx="13">
                  <c:v>6517.67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9-1B46-B46A-C5F0D592F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17376"/>
        <c:axId val="361725536"/>
      </c:barChart>
      <c:catAx>
        <c:axId val="36171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5536"/>
        <c:crosses val="autoZero"/>
        <c:auto val="1"/>
        <c:lblAlgn val="ctr"/>
        <c:lblOffset val="100"/>
        <c:noMultiLvlLbl val="0"/>
      </c:catAx>
      <c:valAx>
        <c:axId val="361725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73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data!$D$173</c:f>
              <c:strCache>
                <c:ptCount val="1"/>
                <c:pt idx="0">
                  <c:v>CDDIS</c:v>
                </c:pt>
              </c:strCache>
            </c:strRef>
          </c:tx>
          <c:marker>
            <c:symbol val="none"/>
          </c:marker>
          <c:cat>
            <c:strRef>
              <c:f>data!$A$174:$A$187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data!$D$174:$D$187</c:f>
              <c:numCache>
                <c:formatCode>0.0%</c:formatCode>
                <c:ptCount val="14"/>
                <c:pt idx="1">
                  <c:v>0.44433094994892747</c:v>
                </c:pt>
                <c:pt idx="2">
                  <c:v>0.4325581395348837</c:v>
                </c:pt>
                <c:pt idx="3">
                  <c:v>0.46153846153846156</c:v>
                </c:pt>
                <c:pt idx="4">
                  <c:v>0.45710095331214862</c:v>
                </c:pt>
                <c:pt idx="5">
                  <c:v>0.5045189797148022</c:v>
                </c:pt>
                <c:pt idx="6">
                  <c:v>0.46902654867256638</c:v>
                </c:pt>
                <c:pt idx="7">
                  <c:v>0.43352601156069365</c:v>
                </c:pt>
                <c:pt idx="8">
                  <c:v>0.43611111111111112</c:v>
                </c:pt>
                <c:pt idx="9">
                  <c:v>0.42523162178543594</c:v>
                </c:pt>
                <c:pt idx="10">
                  <c:v>0.43991263713937423</c:v>
                </c:pt>
                <c:pt idx="11">
                  <c:v>0.40542324923367129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29-9542-AB11-E2E9AC686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529744"/>
        <c:axId val="411530832"/>
      </c:lineChart>
      <c:catAx>
        <c:axId val="41152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0832"/>
        <c:crosses val="autoZero"/>
        <c:auto val="1"/>
        <c:lblAlgn val="ctr"/>
        <c:lblOffset val="100"/>
        <c:noMultiLvlLbl val="0"/>
      </c:catAx>
      <c:valAx>
        <c:axId val="411530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2974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CDDIS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Summary_data!$F$20</c:f>
              <c:strCache>
                <c:ptCount val="1"/>
                <c:pt idx="0">
                  <c:v>CDDIS</c:v>
                </c:pt>
              </c:strCache>
            </c:strRef>
          </c:tx>
          <c:invertIfNegative val="0"/>
          <c:cat>
            <c:strRef>
              <c:f>Summary_data!$C$21:$C$35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Summary_data!$F$21:$F$35</c:f>
              <c:numCache>
                <c:formatCode>_(* #,##0.0_);_(* \(#,##0.0\);_(*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37.058059999999998</c:v>
                </c:pt>
                <c:pt idx="3">
                  <c:v>52.599871</c:v>
                </c:pt>
                <c:pt idx="4">
                  <c:v>112.330657</c:v>
                </c:pt>
                <c:pt idx="5">
                  <c:v>120.025964</c:v>
                </c:pt>
                <c:pt idx="6">
                  <c:v>120.930572</c:v>
                </c:pt>
                <c:pt idx="7">
                  <c:v>144.29374799999999</c:v>
                </c:pt>
                <c:pt idx="8">
                  <c:v>172.03639100000001</c:v>
                </c:pt>
                <c:pt idx="9">
                  <c:v>316.508622</c:v>
                </c:pt>
                <c:pt idx="10">
                  <c:v>384.034918</c:v>
                </c:pt>
                <c:pt idx="11">
                  <c:v>348.31492200000002</c:v>
                </c:pt>
                <c:pt idx="12">
                  <c:v>390.72035199999999</c:v>
                </c:pt>
                <c:pt idx="13">
                  <c:v>373.78777500000001</c:v>
                </c:pt>
                <c:pt idx="14">
                  <c:v>247.00965500000001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2-F74A-AE6C-231F48DE9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36272"/>
        <c:axId val="411527024"/>
      </c:barChart>
      <c:catAx>
        <c:axId val="41153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27024"/>
        <c:crosses val="autoZero"/>
        <c:auto val="1"/>
        <c:lblAlgn val="ctr"/>
        <c:lblOffset val="100"/>
        <c:noMultiLvlLbl val="0"/>
      </c:catAx>
      <c:valAx>
        <c:axId val="411527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627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07"/>
          <c:y val="0.143607581541664"/>
          <c:w val="0.80852879025372704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data!$H$279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data!$H$280:$H$294</c:f>
              <c:numCache>
                <c:formatCode>_(* #,##0_);_(* \(#,##0\);_(* "-"??_);_(@_)</c:formatCode>
                <c:ptCount val="15"/>
                <c:pt idx="2">
                  <c:v>1195</c:v>
                </c:pt>
                <c:pt idx="3">
                  <c:v>2241</c:v>
                </c:pt>
                <c:pt idx="4">
                  <c:v>2504</c:v>
                </c:pt>
                <c:pt idx="5">
                  <c:v>5628</c:v>
                </c:pt>
                <c:pt idx="6">
                  <c:v>8326</c:v>
                </c:pt>
                <c:pt idx="7">
                  <c:v>6975</c:v>
                </c:pt>
                <c:pt idx="8">
                  <c:v>8284</c:v>
                </c:pt>
                <c:pt idx="9">
                  <c:v>10869</c:v>
                </c:pt>
                <c:pt idx="10">
                  <c:v>14866</c:v>
                </c:pt>
                <c:pt idx="11">
                  <c:v>25193</c:v>
                </c:pt>
                <c:pt idx="12">
                  <c:v>27289</c:v>
                </c:pt>
                <c:pt idx="13">
                  <c:v>31492</c:v>
                </c:pt>
                <c:pt idx="14">
                  <c:v>97015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2-2748-A366-1924DC594575}"/>
            </c:ext>
          </c:extLst>
        </c:ser>
        <c:ser>
          <c:idx val="1"/>
          <c:order val="1"/>
          <c:tx>
            <c:strRef>
              <c:f>data!$I$279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data!$I$280:$I$294</c:f>
              <c:numCache>
                <c:formatCode>_(* #,##0_);_(* \(#,##0\);_(* "-"??_);_(@_)</c:formatCode>
                <c:ptCount val="15"/>
                <c:pt idx="2">
                  <c:v>7220</c:v>
                </c:pt>
                <c:pt idx="3">
                  <c:v>13695</c:v>
                </c:pt>
                <c:pt idx="4">
                  <c:v>57720</c:v>
                </c:pt>
                <c:pt idx="5">
                  <c:v>108135</c:v>
                </c:pt>
                <c:pt idx="6">
                  <c:v>347006</c:v>
                </c:pt>
                <c:pt idx="7">
                  <c:v>122957</c:v>
                </c:pt>
                <c:pt idx="8">
                  <c:v>53139</c:v>
                </c:pt>
                <c:pt idx="9">
                  <c:v>64554</c:v>
                </c:pt>
                <c:pt idx="10">
                  <c:v>96028</c:v>
                </c:pt>
                <c:pt idx="11">
                  <c:v>276196</c:v>
                </c:pt>
                <c:pt idx="12">
                  <c:v>157841</c:v>
                </c:pt>
                <c:pt idx="13">
                  <c:v>245674</c:v>
                </c:pt>
                <c:pt idx="14">
                  <c:v>1921102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2-2748-A366-1924DC594575}"/>
            </c:ext>
          </c:extLst>
        </c:ser>
        <c:ser>
          <c:idx val="2"/>
          <c:order val="2"/>
          <c:tx>
            <c:strRef>
              <c:f>data!$J$279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data!$J$280:$J$294</c:f>
              <c:numCache>
                <c:formatCode>_(* #,##0_);_(* \(#,##0\);_(* "-"??_);_(@_)</c:formatCode>
                <c:ptCount val="15"/>
                <c:pt idx="2">
                  <c:v>979</c:v>
                </c:pt>
                <c:pt idx="3">
                  <c:v>1935</c:v>
                </c:pt>
                <c:pt idx="4">
                  <c:v>2093</c:v>
                </c:pt>
                <c:pt idx="5">
                  <c:v>4486</c:v>
                </c:pt>
                <c:pt idx="6">
                  <c:v>5414</c:v>
                </c:pt>
                <c:pt idx="7">
                  <c:v>4896</c:v>
                </c:pt>
                <c:pt idx="8">
                  <c:v>6574</c:v>
                </c:pt>
                <c:pt idx="9">
                  <c:v>8640</c:v>
                </c:pt>
                <c:pt idx="10">
                  <c:v>11549</c:v>
                </c:pt>
                <c:pt idx="11">
                  <c:v>19688</c:v>
                </c:pt>
                <c:pt idx="12">
                  <c:v>20405</c:v>
                </c:pt>
                <c:pt idx="13">
                  <c:v>24594</c:v>
                </c:pt>
                <c:pt idx="14">
                  <c:v>78998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D2-2748-A366-1924DC594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530288"/>
        <c:axId val="411536816"/>
      </c:barChart>
      <c:catAx>
        <c:axId val="411530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36816"/>
        <c:crosses val="autoZero"/>
        <c:auto val="1"/>
        <c:lblAlgn val="ctr"/>
        <c:lblOffset val="100"/>
        <c:noMultiLvlLbl val="0"/>
      </c:catAx>
      <c:valAx>
        <c:axId val="41153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3028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5668327947176154"/>
          <c:y val="0.15454033245844268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GESDISC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data!$E$156</c:f>
              <c:strCache>
                <c:ptCount val="1"/>
                <c:pt idx="0">
                  <c:v>GESDISC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data!$A$157:$A$170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data!$E$157:$E$170</c:f>
              <c:numCache>
                <c:formatCode>_(* #,##0.00_);_(* \(#,##0.00\);_(* "-"??_);_(@_)</c:formatCode>
                <c:ptCount val="14"/>
                <c:pt idx="0">
                  <c:v>219.88722949218749</c:v>
                </c:pt>
                <c:pt idx="1">
                  <c:v>317.83100000000002</c:v>
                </c:pt>
                <c:pt idx="2">
                  <c:v>381.539158203125</c:v>
                </c:pt>
                <c:pt idx="3">
                  <c:v>422.22720703124997</c:v>
                </c:pt>
                <c:pt idx="4">
                  <c:v>515.71818359375004</c:v>
                </c:pt>
                <c:pt idx="5">
                  <c:v>668.55621093750005</c:v>
                </c:pt>
                <c:pt idx="6">
                  <c:v>775.30918685094673</c:v>
                </c:pt>
                <c:pt idx="7">
                  <c:v>1161.8378222656249</c:v>
                </c:pt>
                <c:pt idx="8">
                  <c:v>1425.640654296875</c:v>
                </c:pt>
                <c:pt idx="9">
                  <c:v>1682.9938281249999</c:v>
                </c:pt>
                <c:pt idx="10">
                  <c:v>2098.7129058316209</c:v>
                </c:pt>
                <c:pt idx="11">
                  <c:v>2478.9318164062502</c:v>
                </c:pt>
                <c:pt idx="12">
                  <c:v>3240.997275390625</c:v>
                </c:pt>
                <c:pt idx="13">
                  <c:v>4080.5473339843752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B-C34B-A75F-B0D06BC17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33008"/>
        <c:axId val="411532464"/>
      </c:barChart>
      <c:catAx>
        <c:axId val="41153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2464"/>
        <c:crosses val="autoZero"/>
        <c:auto val="1"/>
        <c:lblAlgn val="ctr"/>
        <c:lblOffset val="100"/>
        <c:noMultiLvlLbl val="0"/>
      </c:catAx>
      <c:valAx>
        <c:axId val="411532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300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69718055696397"/>
          <c:y val="0.14901950216041901"/>
          <c:w val="0.839465925789318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data!$E$173</c:f>
              <c:strCache>
                <c:ptCount val="1"/>
                <c:pt idx="0">
                  <c:v>GES DISC</c:v>
                </c:pt>
              </c:strCache>
            </c:strRef>
          </c:tx>
          <c:marker>
            <c:symbol val="none"/>
          </c:marker>
          <c:cat>
            <c:strRef>
              <c:f>data!$A$174:$A$187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data!$E$174:$E$187</c:f>
              <c:numCache>
                <c:formatCode>0.0%</c:formatCode>
                <c:ptCount val="14"/>
                <c:pt idx="0">
                  <c:v>0.16945548561694312</c:v>
                </c:pt>
                <c:pt idx="1">
                  <c:v>0.12795633717404487</c:v>
                </c:pt>
                <c:pt idx="2">
                  <c:v>0.24312821204724699</c:v>
                </c:pt>
                <c:pt idx="3">
                  <c:v>0.25707862269766241</c:v>
                </c:pt>
                <c:pt idx="4">
                  <c:v>0.32813815121172546</c:v>
                </c:pt>
                <c:pt idx="5">
                  <c:v>0.37452845127096934</c:v>
                </c:pt>
                <c:pt idx="6">
                  <c:v>0.41089104025421636</c:v>
                </c:pt>
                <c:pt idx="7">
                  <c:v>0.35548922384829218</c:v>
                </c:pt>
                <c:pt idx="8">
                  <c:v>0.36126485905789485</c:v>
                </c:pt>
                <c:pt idx="9">
                  <c:v>0.38022714452891504</c:v>
                </c:pt>
                <c:pt idx="10">
                  <c:v>0.39628506200495184</c:v>
                </c:pt>
                <c:pt idx="11">
                  <c:v>0.39183681279779559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5-6E42-8A9F-C90F6D398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533552"/>
        <c:axId val="411535184"/>
      </c:lineChart>
      <c:catAx>
        <c:axId val="41153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5184"/>
        <c:crosses val="autoZero"/>
        <c:auto val="1"/>
        <c:lblAlgn val="ctr"/>
        <c:lblOffset val="100"/>
        <c:noMultiLvlLbl val="0"/>
      </c:catAx>
      <c:valAx>
        <c:axId val="411535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355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GESDISC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53451473040878"/>
          <c:y val="0.18225294239347301"/>
          <c:w val="0.85083581315611434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Summary_data!$G$20</c:f>
              <c:strCache>
                <c:ptCount val="1"/>
                <c:pt idx="0">
                  <c:v>GESDISC</c:v>
                </c:pt>
              </c:strCache>
            </c:strRef>
          </c:tx>
          <c:invertIfNegative val="0"/>
          <c:cat>
            <c:strRef>
              <c:f>Summary_data!$C$21:$C$35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Summary_data!$G$21:$G$35</c:f>
              <c:numCache>
                <c:formatCode>_(* #,##0.0_);_(* \(#,##0.0\);_(* "-"??_);_(@_)</c:formatCode>
                <c:ptCount val="15"/>
                <c:pt idx="0">
                  <c:v>22.917339999999999</c:v>
                </c:pt>
                <c:pt idx="1">
                  <c:v>38.747579999999999</c:v>
                </c:pt>
                <c:pt idx="2">
                  <c:v>54.500664</c:v>
                </c:pt>
                <c:pt idx="3">
                  <c:v>84.223157999999998</c:v>
                </c:pt>
                <c:pt idx="4">
                  <c:v>133.841386</c:v>
                </c:pt>
                <c:pt idx="5">
                  <c:v>168.67674700000001</c:v>
                </c:pt>
                <c:pt idx="6">
                  <c:v>209.906859</c:v>
                </c:pt>
                <c:pt idx="7">
                  <c:v>283.25595800000002</c:v>
                </c:pt>
                <c:pt idx="8">
                  <c:v>405.060654</c:v>
                </c:pt>
                <c:pt idx="9">
                  <c:v>409.16399200000001</c:v>
                </c:pt>
                <c:pt idx="10">
                  <c:v>257.50330300000002</c:v>
                </c:pt>
                <c:pt idx="11">
                  <c:v>297.73108400000001</c:v>
                </c:pt>
                <c:pt idx="12">
                  <c:v>408.14651099999998</c:v>
                </c:pt>
                <c:pt idx="13">
                  <c:v>428.93781000000001</c:v>
                </c:pt>
                <c:pt idx="14">
                  <c:v>479.78938099999999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6-B042-8F5B-6A63B7C84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25936"/>
        <c:axId val="411526480"/>
      </c:barChart>
      <c:catAx>
        <c:axId val="41152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26480"/>
        <c:crosses val="autoZero"/>
        <c:auto val="1"/>
        <c:lblAlgn val="ctr"/>
        <c:lblOffset val="100"/>
        <c:noMultiLvlLbl val="0"/>
      </c:catAx>
      <c:valAx>
        <c:axId val="411526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259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data!$K$279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data!$K$280:$K$294</c:f>
              <c:numCache>
                <c:formatCode>_(* #,##0_);_(* \(#,##0\);_(* "-"??_);_(@_)</c:formatCode>
                <c:ptCount val="15"/>
                <c:pt idx="0">
                  <c:v>141171</c:v>
                </c:pt>
                <c:pt idx="1">
                  <c:v>143781</c:v>
                </c:pt>
                <c:pt idx="2">
                  <c:v>144585</c:v>
                </c:pt>
                <c:pt idx="3">
                  <c:v>155369</c:v>
                </c:pt>
                <c:pt idx="4">
                  <c:v>191134</c:v>
                </c:pt>
                <c:pt idx="5">
                  <c:v>214570</c:v>
                </c:pt>
                <c:pt idx="6">
                  <c:v>225553</c:v>
                </c:pt>
                <c:pt idx="7">
                  <c:v>217305</c:v>
                </c:pt>
                <c:pt idx="8">
                  <c:v>246689</c:v>
                </c:pt>
                <c:pt idx="9">
                  <c:v>206088</c:v>
                </c:pt>
                <c:pt idx="10">
                  <c:v>190206</c:v>
                </c:pt>
                <c:pt idx="11">
                  <c:v>150117</c:v>
                </c:pt>
                <c:pt idx="12">
                  <c:v>135008</c:v>
                </c:pt>
                <c:pt idx="13">
                  <c:v>248102</c:v>
                </c:pt>
                <c:pt idx="14">
                  <c:v>274957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1-9D47-9E9A-754A1B610AE0}"/>
            </c:ext>
          </c:extLst>
        </c:ser>
        <c:ser>
          <c:idx val="1"/>
          <c:order val="1"/>
          <c:tx>
            <c:strRef>
              <c:f>data!$L$279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data!$L$280:$L$294</c:f>
              <c:numCache>
                <c:formatCode>_(* #,##0_);_(* \(#,##0\);_(* "-"??_);_(@_)</c:formatCode>
                <c:ptCount val="15"/>
                <c:pt idx="0">
                  <c:v>1607037</c:v>
                </c:pt>
                <c:pt idx="1">
                  <c:v>1636681</c:v>
                </c:pt>
                <c:pt idx="2">
                  <c:v>3472493</c:v>
                </c:pt>
                <c:pt idx="3">
                  <c:v>5690078</c:v>
                </c:pt>
                <c:pt idx="4">
                  <c:v>7011266</c:v>
                </c:pt>
                <c:pt idx="5">
                  <c:v>7631590</c:v>
                </c:pt>
                <c:pt idx="6">
                  <c:v>9735100</c:v>
                </c:pt>
                <c:pt idx="7">
                  <c:v>10234228</c:v>
                </c:pt>
                <c:pt idx="8">
                  <c:v>6004302</c:v>
                </c:pt>
                <c:pt idx="9">
                  <c:v>2180301</c:v>
                </c:pt>
                <c:pt idx="10">
                  <c:v>1902393</c:v>
                </c:pt>
                <c:pt idx="11">
                  <c:v>2584212</c:v>
                </c:pt>
                <c:pt idx="12">
                  <c:v>1030437</c:v>
                </c:pt>
                <c:pt idx="13">
                  <c:v>1270592</c:v>
                </c:pt>
                <c:pt idx="14">
                  <c:v>1488512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1-9D47-9E9A-754A1B610AE0}"/>
            </c:ext>
          </c:extLst>
        </c:ser>
        <c:ser>
          <c:idx val="2"/>
          <c:order val="2"/>
          <c:tx>
            <c:strRef>
              <c:f>data!$M$279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data!$M$280:$M$294</c:f>
              <c:numCache>
                <c:formatCode>_(* #,##0_);_(* \(#,##0\);_(* "-"??_);_(@_)</c:formatCode>
                <c:ptCount val="15"/>
                <c:pt idx="0">
                  <c:v>78948</c:v>
                </c:pt>
                <c:pt idx="1">
                  <c:v>82771</c:v>
                </c:pt>
                <c:pt idx="2">
                  <c:v>80801</c:v>
                </c:pt>
                <c:pt idx="3">
                  <c:v>81529</c:v>
                </c:pt>
                <c:pt idx="4">
                  <c:v>108531</c:v>
                </c:pt>
                <c:pt idx="5">
                  <c:v>120292</c:v>
                </c:pt>
                <c:pt idx="6">
                  <c:v>125907</c:v>
                </c:pt>
                <c:pt idx="7">
                  <c:v>120646</c:v>
                </c:pt>
                <c:pt idx="8">
                  <c:v>141377</c:v>
                </c:pt>
                <c:pt idx="9">
                  <c:v>128457</c:v>
                </c:pt>
                <c:pt idx="10">
                  <c:v>118779</c:v>
                </c:pt>
                <c:pt idx="11">
                  <c:v>93299</c:v>
                </c:pt>
                <c:pt idx="12">
                  <c:v>85292</c:v>
                </c:pt>
                <c:pt idx="13">
                  <c:v>140161</c:v>
                </c:pt>
                <c:pt idx="14">
                  <c:v>190560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21-9D47-9E9A-754A1B610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528112"/>
        <c:axId val="411528656"/>
      </c:barChart>
      <c:catAx>
        <c:axId val="411528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28656"/>
        <c:crosses val="autoZero"/>
        <c:auto val="1"/>
        <c:lblAlgn val="ctr"/>
        <c:lblOffset val="100"/>
        <c:noMultiLvlLbl val="0"/>
      </c:catAx>
      <c:valAx>
        <c:axId val="41152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2811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4775130045352498"/>
          <c:y val="0.1678989757628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GHRC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data!$F$156</c:f>
              <c:strCache>
                <c:ptCount val="1"/>
                <c:pt idx="0">
                  <c:v>GHRC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data!$A$157:$A$170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data!$F$157:$F$170</c:f>
              <c:numCache>
                <c:formatCode>_(* #,##0.00_);_(* \(#,##0.00\);_(* "-"??_);_(@_)</c:formatCode>
                <c:ptCount val="14"/>
                <c:pt idx="0">
                  <c:v>3.435041015625</c:v>
                </c:pt>
                <c:pt idx="1">
                  <c:v>5.3330000000000002</c:v>
                </c:pt>
                <c:pt idx="2">
                  <c:v>6.8242343749999996</c:v>
                </c:pt>
                <c:pt idx="3">
                  <c:v>6.4231972656250003</c:v>
                </c:pt>
                <c:pt idx="4">
                  <c:v>7.0876269531249996</c:v>
                </c:pt>
                <c:pt idx="5">
                  <c:v>9.5370605468750007</c:v>
                </c:pt>
                <c:pt idx="6">
                  <c:v>8.8079055354310096</c:v>
                </c:pt>
                <c:pt idx="7">
                  <c:v>9.8950976562499999</c:v>
                </c:pt>
                <c:pt idx="8">
                  <c:v>13.584150390625</c:v>
                </c:pt>
                <c:pt idx="9">
                  <c:v>16.097031250000001</c:v>
                </c:pt>
                <c:pt idx="10">
                  <c:v>27.6</c:v>
                </c:pt>
                <c:pt idx="11">
                  <c:v>32.299999999999997</c:v>
                </c:pt>
                <c:pt idx="12">
                  <c:v>43.3</c:v>
                </c:pt>
                <c:pt idx="13">
                  <c:v>67.960849609375003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4-E04B-B4B8-AB65BDD6B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82880"/>
        <c:axId val="412580160"/>
      </c:barChart>
      <c:catAx>
        <c:axId val="41258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0160"/>
        <c:crosses val="autoZero"/>
        <c:auto val="1"/>
        <c:lblAlgn val="ctr"/>
        <c:lblOffset val="100"/>
        <c:noMultiLvlLbl val="0"/>
      </c:catAx>
      <c:valAx>
        <c:axId val="412580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288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3775900532262"/>
          <c:y val="0.14901943669040921"/>
          <c:w val="0.860705078437483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data!$F$173</c:f>
              <c:strCache>
                <c:ptCount val="1"/>
                <c:pt idx="0">
                  <c:v>GHRC</c:v>
                </c:pt>
              </c:strCache>
            </c:strRef>
          </c:tx>
          <c:marker>
            <c:symbol val="none"/>
          </c:marker>
          <c:cat>
            <c:strRef>
              <c:f>data!$A$174:$A$187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data!$F$174:$F$187</c:f>
              <c:numCache>
                <c:formatCode>0.0%</c:formatCode>
                <c:ptCount val="14"/>
                <c:pt idx="1">
                  <c:v>0.15365489806066635</c:v>
                </c:pt>
                <c:pt idx="2">
                  <c:v>0.1547310900201323</c:v>
                </c:pt>
                <c:pt idx="3">
                  <c:v>0.18175937904269082</c:v>
                </c:pt>
                <c:pt idx="4">
                  <c:v>0.18018433179723503</c:v>
                </c:pt>
                <c:pt idx="5">
                  <c:v>0.20057361376673041</c:v>
                </c:pt>
                <c:pt idx="6">
                  <c:v>0.21420784883720931</c:v>
                </c:pt>
                <c:pt idx="7">
                  <c:v>0.19592668024439919</c:v>
                </c:pt>
                <c:pt idx="8">
                  <c:v>0.10375166002656043</c:v>
                </c:pt>
                <c:pt idx="9">
                  <c:v>0.15262592428742969</c:v>
                </c:pt>
                <c:pt idx="10">
                  <c:v>0.25718252052148721</c:v>
                </c:pt>
                <c:pt idx="11">
                  <c:v>0.29913370998116762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34-D647-8CBF-3858311E9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587232"/>
        <c:axId val="412581248"/>
      </c:lineChart>
      <c:catAx>
        <c:axId val="41258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1248"/>
        <c:crosses val="autoZero"/>
        <c:auto val="1"/>
        <c:lblAlgn val="ctr"/>
        <c:lblOffset val="100"/>
        <c:noMultiLvlLbl val="0"/>
      </c:catAx>
      <c:valAx>
        <c:axId val="412581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72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GHRC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Summary_data!$H$20</c:f>
              <c:strCache>
                <c:ptCount val="1"/>
                <c:pt idx="0">
                  <c:v>GHRC</c:v>
                </c:pt>
              </c:strCache>
            </c:strRef>
          </c:tx>
          <c:invertIfNegative val="0"/>
          <c:cat>
            <c:strRef>
              <c:f>Summary_data!$C$21:$C$35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Summary_data!$H$21:$H$35</c:f>
              <c:numCache>
                <c:formatCode>_(* #,##0.0_);_(* \(#,##0.0\);_(* "-"??_);_(@_)</c:formatCode>
                <c:ptCount val="15"/>
                <c:pt idx="0">
                  <c:v>0</c:v>
                </c:pt>
                <c:pt idx="1">
                  <c:v>10.177527</c:v>
                </c:pt>
                <c:pt idx="2">
                  <c:v>5.6774750000000003</c:v>
                </c:pt>
                <c:pt idx="3">
                  <c:v>0.65940500000000002</c:v>
                </c:pt>
                <c:pt idx="4">
                  <c:v>0.72013300000000002</c:v>
                </c:pt>
                <c:pt idx="5">
                  <c:v>0.79108500000000004</c:v>
                </c:pt>
                <c:pt idx="6">
                  <c:v>4.4349480000000003</c:v>
                </c:pt>
                <c:pt idx="7">
                  <c:v>4.4983519999999997</c:v>
                </c:pt>
                <c:pt idx="8">
                  <c:v>6.3843249999999996</c:v>
                </c:pt>
                <c:pt idx="9">
                  <c:v>3.9329890000000001</c:v>
                </c:pt>
                <c:pt idx="10">
                  <c:v>6.8701800000000004</c:v>
                </c:pt>
                <c:pt idx="11">
                  <c:v>7.1144410000000002</c:v>
                </c:pt>
                <c:pt idx="12">
                  <c:v>76.927700999999999</c:v>
                </c:pt>
                <c:pt idx="13">
                  <c:v>8.3393150000000009</c:v>
                </c:pt>
                <c:pt idx="14">
                  <c:v>13.966144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5-F341-9DB2-A771BC20C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80704"/>
        <c:axId val="412591040"/>
      </c:barChart>
      <c:catAx>
        <c:axId val="41258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91040"/>
        <c:crosses val="autoZero"/>
        <c:auto val="1"/>
        <c:lblAlgn val="ctr"/>
        <c:lblOffset val="100"/>
        <c:noMultiLvlLbl val="0"/>
      </c:catAx>
      <c:valAx>
        <c:axId val="412591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07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99853097688928"/>
          <c:y val="0.20762413679331257"/>
          <c:w val="0.81643548290533885"/>
          <c:h val="0.62961775994434754"/>
        </c:manualLayout>
      </c:layout>
      <c:lineChart>
        <c:grouping val="standard"/>
        <c:varyColors val="0"/>
        <c:ser>
          <c:idx val="0"/>
          <c:order val="0"/>
          <c:tx>
            <c:strRef>
              <c:f>data!$B$173</c:f>
              <c:strCache>
                <c:ptCount val="1"/>
                <c:pt idx="0">
                  <c:v>ASDC</c:v>
                </c:pt>
              </c:strCache>
            </c:strRef>
          </c:tx>
          <c:marker>
            <c:symbol val="none"/>
          </c:marker>
          <c:cat>
            <c:strRef>
              <c:f>data!$A$174:$A$187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data!$B$174:$B$187</c:f>
              <c:numCache>
                <c:formatCode>0.0%</c:formatCode>
                <c:ptCount val="14"/>
                <c:pt idx="0">
                  <c:v>2.6576141684055352E-3</c:v>
                </c:pt>
                <c:pt idx="1">
                  <c:v>3.0116919157454165E-3</c:v>
                </c:pt>
                <c:pt idx="2">
                  <c:v>4.2365347001569369E-3</c:v>
                </c:pt>
                <c:pt idx="3">
                  <c:v>1.804059133049361E-3</c:v>
                </c:pt>
                <c:pt idx="4">
                  <c:v>5.3350104639941012E-3</c:v>
                </c:pt>
                <c:pt idx="5">
                  <c:v>7.2200100691107143E-3</c:v>
                </c:pt>
                <c:pt idx="6">
                  <c:v>1.308025876164072E-2</c:v>
                </c:pt>
                <c:pt idx="7">
                  <c:v>9.3063551506343978E-3</c:v>
                </c:pt>
                <c:pt idx="8">
                  <c:v>8.9196205948127386E-3</c:v>
                </c:pt>
                <c:pt idx="9">
                  <c:v>8.712842290232831E-3</c:v>
                </c:pt>
                <c:pt idx="10">
                  <c:v>7.1431478692661485E-3</c:v>
                </c:pt>
                <c:pt idx="11">
                  <c:v>5.1523253771541206E-3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1-684B-86FD-C346F2C4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714112"/>
        <c:axId val="361715744"/>
      </c:lineChart>
      <c:catAx>
        <c:axId val="36171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5744"/>
        <c:crosses val="autoZero"/>
        <c:auto val="1"/>
        <c:lblAlgn val="ctr"/>
        <c:lblOffset val="100"/>
        <c:noMultiLvlLbl val="0"/>
      </c:catAx>
      <c:valAx>
        <c:axId val="361715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41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07"/>
          <c:y val="0.143607581541664"/>
          <c:w val="0.80852879025372704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data!$N$279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data!$N$280:$N$294</c:f>
              <c:numCache>
                <c:formatCode>_(* #,##0_);_(* \(#,##0\);_(* "-"??_);_(@_)</c:formatCode>
                <c:ptCount val="15"/>
                <c:pt idx="2">
                  <c:v>3563</c:v>
                </c:pt>
                <c:pt idx="3">
                  <c:v>5044</c:v>
                </c:pt>
                <c:pt idx="4">
                  <c:v>4566</c:v>
                </c:pt>
                <c:pt idx="5">
                  <c:v>6236</c:v>
                </c:pt>
                <c:pt idx="6">
                  <c:v>7576</c:v>
                </c:pt>
                <c:pt idx="7">
                  <c:v>8071</c:v>
                </c:pt>
                <c:pt idx="8">
                  <c:v>10494</c:v>
                </c:pt>
                <c:pt idx="9">
                  <c:v>17347</c:v>
                </c:pt>
                <c:pt idx="10">
                  <c:v>23160</c:v>
                </c:pt>
                <c:pt idx="11">
                  <c:v>24485</c:v>
                </c:pt>
                <c:pt idx="12">
                  <c:v>8500</c:v>
                </c:pt>
                <c:pt idx="13">
                  <c:v>14333</c:v>
                </c:pt>
                <c:pt idx="14">
                  <c:v>16453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6-8E4A-9B64-65C2BD4E257E}"/>
            </c:ext>
          </c:extLst>
        </c:ser>
        <c:ser>
          <c:idx val="1"/>
          <c:order val="1"/>
          <c:tx>
            <c:strRef>
              <c:f>data!$O$279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data!$O$280:$O$294</c:f>
              <c:numCache>
                <c:formatCode>_(* #,##0_);_(* \(#,##0\);_(* "-"??_);_(@_)</c:formatCode>
                <c:ptCount val="15"/>
                <c:pt idx="2">
                  <c:v>25293</c:v>
                </c:pt>
                <c:pt idx="3">
                  <c:v>37090</c:v>
                </c:pt>
                <c:pt idx="4">
                  <c:v>143683</c:v>
                </c:pt>
                <c:pt idx="5">
                  <c:v>50572</c:v>
                </c:pt>
                <c:pt idx="6">
                  <c:v>62644</c:v>
                </c:pt>
                <c:pt idx="7">
                  <c:v>70567</c:v>
                </c:pt>
                <c:pt idx="8">
                  <c:v>102909</c:v>
                </c:pt>
                <c:pt idx="9">
                  <c:v>140576</c:v>
                </c:pt>
                <c:pt idx="10">
                  <c:v>392057</c:v>
                </c:pt>
                <c:pt idx="11">
                  <c:v>529075</c:v>
                </c:pt>
                <c:pt idx="12">
                  <c:v>77387</c:v>
                </c:pt>
                <c:pt idx="13">
                  <c:v>194039</c:v>
                </c:pt>
                <c:pt idx="14">
                  <c:v>205823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46-8E4A-9B64-65C2BD4E257E}"/>
            </c:ext>
          </c:extLst>
        </c:ser>
        <c:ser>
          <c:idx val="2"/>
          <c:order val="2"/>
          <c:tx>
            <c:strRef>
              <c:f>data!$P$279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data!$P$280:$P$294</c:f>
              <c:numCache>
                <c:formatCode>_(* #,##0_);_(* \(#,##0\);_(* "-"??_);_(@_)</c:formatCode>
                <c:ptCount val="15"/>
                <c:pt idx="2">
                  <c:v>2011</c:v>
                </c:pt>
                <c:pt idx="3">
                  <c:v>3477</c:v>
                </c:pt>
                <c:pt idx="4">
                  <c:v>3092</c:v>
                </c:pt>
                <c:pt idx="5">
                  <c:v>4606</c:v>
                </c:pt>
                <c:pt idx="6">
                  <c:v>5560</c:v>
                </c:pt>
                <c:pt idx="7">
                  <c:v>5858</c:v>
                </c:pt>
                <c:pt idx="8">
                  <c:v>7365</c:v>
                </c:pt>
                <c:pt idx="9">
                  <c:v>12048</c:v>
                </c:pt>
                <c:pt idx="10">
                  <c:v>15823</c:v>
                </c:pt>
                <c:pt idx="11">
                  <c:v>16568</c:v>
                </c:pt>
                <c:pt idx="12">
                  <c:v>7398</c:v>
                </c:pt>
                <c:pt idx="13">
                  <c:v>14343</c:v>
                </c:pt>
                <c:pt idx="14">
                  <c:v>16588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46-8E4A-9B64-65C2BD4E2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589952"/>
        <c:axId val="412584512"/>
      </c:barChart>
      <c:catAx>
        <c:axId val="412589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0997785327073908"/>
              <c:y val="0.92533005153265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84512"/>
        <c:crosses val="autoZero"/>
        <c:auto val="1"/>
        <c:lblAlgn val="ctr"/>
        <c:lblOffset val="100"/>
        <c:noMultiLvlLbl val="0"/>
      </c:catAx>
      <c:valAx>
        <c:axId val="41258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8995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7193785770536536"/>
          <c:y val="0.16797025371828522"/>
          <c:w val="0.31945279506777341"/>
          <c:h val="0.1042552910375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LPDAAC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data!$G$156</c:f>
              <c:strCache>
                <c:ptCount val="1"/>
                <c:pt idx="0">
                  <c:v>LP 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data!$A$157:$A$170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data!$G$157:$G$170</c:f>
              <c:numCache>
                <c:formatCode>_(* #,##0.00_);_(* \(#,##0.00\);_(* "-"??_);_(@_)</c:formatCode>
                <c:ptCount val="14"/>
                <c:pt idx="0">
                  <c:v>1761.525625</c:v>
                </c:pt>
                <c:pt idx="1">
                  <c:v>759.51099999999997</c:v>
                </c:pt>
                <c:pt idx="2">
                  <c:v>822.25268164062504</c:v>
                </c:pt>
                <c:pt idx="3">
                  <c:v>898.95026074218754</c:v>
                </c:pt>
                <c:pt idx="4">
                  <c:v>954.17966796874998</c:v>
                </c:pt>
                <c:pt idx="5">
                  <c:v>1066.3169921875001</c:v>
                </c:pt>
                <c:pt idx="6">
                  <c:v>1131.1058336851804</c:v>
                </c:pt>
                <c:pt idx="7">
                  <c:v>2468.4033984375001</c:v>
                </c:pt>
                <c:pt idx="8">
                  <c:v>2933.262939453125</c:v>
                </c:pt>
                <c:pt idx="9">
                  <c:v>3104.99</c:v>
                </c:pt>
                <c:pt idx="10">
                  <c:v>3005.56</c:v>
                </c:pt>
                <c:pt idx="11">
                  <c:v>3322.23</c:v>
                </c:pt>
                <c:pt idx="12">
                  <c:v>5008.8744433593747</c:v>
                </c:pt>
                <c:pt idx="13">
                  <c:v>7258.2962304687508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6E46-BA57-A2C225EF1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83424"/>
        <c:axId val="412591584"/>
      </c:barChart>
      <c:catAx>
        <c:axId val="41258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91584"/>
        <c:crosses val="autoZero"/>
        <c:auto val="1"/>
        <c:lblAlgn val="ctr"/>
        <c:lblOffset val="100"/>
        <c:noMultiLvlLbl val="0"/>
      </c:catAx>
      <c:valAx>
        <c:axId val="412591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342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69718055696397"/>
          <c:y val="0.14901950216041901"/>
          <c:w val="0.839465925789318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data!$G$173</c:f>
              <c:strCache>
                <c:ptCount val="1"/>
                <c:pt idx="0">
                  <c:v>LP DAAC</c:v>
                </c:pt>
              </c:strCache>
            </c:strRef>
          </c:tx>
          <c:marker>
            <c:symbol val="none"/>
          </c:marker>
          <c:cat>
            <c:strRef>
              <c:f>data!$A$174:$A$187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data!$G$174:$G$187</c:f>
              <c:numCache>
                <c:formatCode>0.0%</c:formatCode>
                <c:ptCount val="14"/>
                <c:pt idx="0">
                  <c:v>3.6466484818673699E-2</c:v>
                </c:pt>
                <c:pt idx="1">
                  <c:v>8.0339235573892609E-2</c:v>
                </c:pt>
                <c:pt idx="2">
                  <c:v>0.13444174335822193</c:v>
                </c:pt>
                <c:pt idx="3">
                  <c:v>3.7928462661984526E-2</c:v>
                </c:pt>
                <c:pt idx="4">
                  <c:v>4.5725031726096932E-2</c:v>
                </c:pt>
                <c:pt idx="5">
                  <c:v>0.17976792544861755</c:v>
                </c:pt>
                <c:pt idx="6">
                  <c:v>0.1921027354903225</c:v>
                </c:pt>
                <c:pt idx="7">
                  <c:v>0.1811757891688387</c:v>
                </c:pt>
                <c:pt idx="8">
                  <c:v>0.24775192716871883</c:v>
                </c:pt>
                <c:pt idx="9">
                  <c:v>0.32284028536173714</c:v>
                </c:pt>
                <c:pt idx="10">
                  <c:v>0.29646412946384909</c:v>
                </c:pt>
                <c:pt idx="11">
                  <c:v>0.27058645650242863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5-2F47-9E1B-2B29AFAB7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586688"/>
        <c:axId val="412585056"/>
      </c:lineChart>
      <c:catAx>
        <c:axId val="41258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5056"/>
        <c:crosses val="autoZero"/>
        <c:auto val="1"/>
        <c:lblAlgn val="ctr"/>
        <c:lblOffset val="100"/>
        <c:noMultiLvlLbl val="0"/>
      </c:catAx>
      <c:valAx>
        <c:axId val="412585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66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LPDAAC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Summary_data!$I$20</c:f>
              <c:strCache>
                <c:ptCount val="1"/>
                <c:pt idx="0">
                  <c:v>LP DAAC</c:v>
                </c:pt>
              </c:strCache>
            </c:strRef>
          </c:tx>
          <c:invertIfNegative val="0"/>
          <c:cat>
            <c:strRef>
              <c:f>Summary_data!$C$21:$C$35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Summary_data!$I$21:$I$35</c:f>
              <c:numCache>
                <c:formatCode>_(* #,##0.0_);_(* \(#,##0.0\);_(* "-"??_);_(@_)</c:formatCode>
                <c:ptCount val="15"/>
                <c:pt idx="0">
                  <c:v>0.148617</c:v>
                </c:pt>
                <c:pt idx="1">
                  <c:v>16.757476</c:v>
                </c:pt>
                <c:pt idx="2">
                  <c:v>38.827043000000003</c:v>
                </c:pt>
                <c:pt idx="3">
                  <c:v>51.945273</c:v>
                </c:pt>
                <c:pt idx="4">
                  <c:v>63.965963000000002</c:v>
                </c:pt>
                <c:pt idx="5">
                  <c:v>70.588599000000002</c:v>
                </c:pt>
                <c:pt idx="6">
                  <c:v>111.743424</c:v>
                </c:pt>
                <c:pt idx="7">
                  <c:v>127.080485</c:v>
                </c:pt>
                <c:pt idx="8">
                  <c:v>163.27644599999999</c:v>
                </c:pt>
                <c:pt idx="9">
                  <c:v>174.59097600000001</c:v>
                </c:pt>
                <c:pt idx="10">
                  <c:v>208.186137</c:v>
                </c:pt>
                <c:pt idx="11">
                  <c:v>249.38378800000001</c:v>
                </c:pt>
                <c:pt idx="12">
                  <c:v>276.07118400000002</c:v>
                </c:pt>
                <c:pt idx="13">
                  <c:v>233.80064299999998</c:v>
                </c:pt>
                <c:pt idx="14">
                  <c:v>252.374606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A-BE4D-85AF-AC26A98B3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85600"/>
        <c:axId val="412586144"/>
      </c:barChart>
      <c:catAx>
        <c:axId val="41258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6144"/>
        <c:crosses val="autoZero"/>
        <c:auto val="1"/>
        <c:lblAlgn val="ctr"/>
        <c:lblOffset val="100"/>
        <c:noMultiLvlLbl val="0"/>
      </c:catAx>
      <c:valAx>
        <c:axId val="412586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56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data!$Q$279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data!$Q$280:$Q$294</c:f>
              <c:numCache>
                <c:formatCode>_(* #,##0_);_(* \(#,##0\);_(* "-"??_);_(@_)</c:formatCode>
                <c:ptCount val="15"/>
                <c:pt idx="0">
                  <c:v>74193</c:v>
                </c:pt>
                <c:pt idx="1">
                  <c:v>78161</c:v>
                </c:pt>
                <c:pt idx="2">
                  <c:v>53247</c:v>
                </c:pt>
                <c:pt idx="3">
                  <c:v>35281</c:v>
                </c:pt>
                <c:pt idx="4">
                  <c:v>94768</c:v>
                </c:pt>
                <c:pt idx="5">
                  <c:v>205451</c:v>
                </c:pt>
                <c:pt idx="6">
                  <c:v>127574</c:v>
                </c:pt>
                <c:pt idx="7">
                  <c:v>119538</c:v>
                </c:pt>
                <c:pt idx="8">
                  <c:v>140454</c:v>
                </c:pt>
                <c:pt idx="9">
                  <c:v>189171</c:v>
                </c:pt>
                <c:pt idx="10">
                  <c:v>195153</c:v>
                </c:pt>
                <c:pt idx="11">
                  <c:v>209718</c:v>
                </c:pt>
                <c:pt idx="12">
                  <c:v>217017</c:v>
                </c:pt>
                <c:pt idx="13">
                  <c:v>175741</c:v>
                </c:pt>
                <c:pt idx="14">
                  <c:v>184383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9-4C43-B408-02A2A468B4D6}"/>
            </c:ext>
          </c:extLst>
        </c:ser>
        <c:ser>
          <c:idx val="1"/>
          <c:order val="1"/>
          <c:tx>
            <c:strRef>
              <c:f>data!$R$279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data!$R$280:$R$294</c:f>
              <c:numCache>
                <c:formatCode>_(* #,##0_);_(* \(#,##0\);_(* "-"??_);_(@_)</c:formatCode>
                <c:ptCount val="15"/>
                <c:pt idx="0">
                  <c:v>735937</c:v>
                </c:pt>
                <c:pt idx="1">
                  <c:v>757185</c:v>
                </c:pt>
                <c:pt idx="2">
                  <c:v>377739</c:v>
                </c:pt>
                <c:pt idx="3">
                  <c:v>251786</c:v>
                </c:pt>
                <c:pt idx="4">
                  <c:v>915566</c:v>
                </c:pt>
                <c:pt idx="5">
                  <c:v>1386094</c:v>
                </c:pt>
                <c:pt idx="6">
                  <c:v>958322</c:v>
                </c:pt>
                <c:pt idx="7">
                  <c:v>744359</c:v>
                </c:pt>
                <c:pt idx="8">
                  <c:v>865811</c:v>
                </c:pt>
                <c:pt idx="9">
                  <c:v>1096949</c:v>
                </c:pt>
                <c:pt idx="10">
                  <c:v>1059513</c:v>
                </c:pt>
                <c:pt idx="11">
                  <c:v>1158426</c:v>
                </c:pt>
                <c:pt idx="12">
                  <c:v>1410082</c:v>
                </c:pt>
                <c:pt idx="13">
                  <c:v>1274426</c:v>
                </c:pt>
                <c:pt idx="14">
                  <c:v>1298463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C9-4C43-B408-02A2A468B4D6}"/>
            </c:ext>
          </c:extLst>
        </c:ser>
        <c:ser>
          <c:idx val="2"/>
          <c:order val="2"/>
          <c:tx>
            <c:strRef>
              <c:f>data!$S$279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data!$S$280:$S$294</c:f>
              <c:numCache>
                <c:formatCode>_(* #,##0_);_(* \(#,##0\);_(* "-"??_);_(@_)</c:formatCode>
                <c:ptCount val="15"/>
                <c:pt idx="0">
                  <c:v>41991</c:v>
                </c:pt>
                <c:pt idx="1">
                  <c:v>44726</c:v>
                </c:pt>
                <c:pt idx="2">
                  <c:v>34902</c:v>
                </c:pt>
                <c:pt idx="3">
                  <c:v>23036</c:v>
                </c:pt>
                <c:pt idx="4">
                  <c:v>64358</c:v>
                </c:pt>
                <c:pt idx="5">
                  <c:v>164546</c:v>
                </c:pt>
                <c:pt idx="6">
                  <c:v>89098</c:v>
                </c:pt>
                <c:pt idx="7">
                  <c:v>86934</c:v>
                </c:pt>
                <c:pt idx="8">
                  <c:v>103590</c:v>
                </c:pt>
                <c:pt idx="9">
                  <c:v>143345</c:v>
                </c:pt>
                <c:pt idx="10">
                  <c:v>141014</c:v>
                </c:pt>
                <c:pt idx="11">
                  <c:v>153371</c:v>
                </c:pt>
                <c:pt idx="12">
                  <c:v>152381</c:v>
                </c:pt>
                <c:pt idx="13">
                  <c:v>122443</c:v>
                </c:pt>
                <c:pt idx="14">
                  <c:v>150940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C9-4C43-B408-02A2A468B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587776"/>
        <c:axId val="412589408"/>
      </c:barChart>
      <c:catAx>
        <c:axId val="412587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89408"/>
        <c:crosses val="autoZero"/>
        <c:auto val="1"/>
        <c:lblAlgn val="ctr"/>
        <c:lblOffset val="100"/>
        <c:noMultiLvlLbl val="0"/>
      </c:catAx>
      <c:valAx>
        <c:axId val="41258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8777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8510155553805048"/>
          <c:y val="0.12889075599405336"/>
          <c:w val="0.31308285292015892"/>
          <c:h val="0.1042552910375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LAADS DAAC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data!$H$156</c:f>
              <c:strCache>
                <c:ptCount val="1"/>
                <c:pt idx="0">
                  <c:v>LAADS 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data!$A$157:$A$170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data!$H$157:$H$170</c:f>
              <c:numCache>
                <c:formatCode>_(* #,##0.00_);_(* \(#,##0.00\);_(* "-"??_);_(@_)</c:formatCode>
                <c:ptCount val="14"/>
                <c:pt idx="0">
                  <c:v>180.68916015625001</c:v>
                </c:pt>
                <c:pt idx="1">
                  <c:v>392.52600000000001</c:v>
                </c:pt>
                <c:pt idx="2">
                  <c:v>768.33581738281248</c:v>
                </c:pt>
                <c:pt idx="3">
                  <c:v>882.08933593749998</c:v>
                </c:pt>
                <c:pt idx="4">
                  <c:v>1159.65796875</c:v>
                </c:pt>
                <c:pt idx="5">
                  <c:v>1543.9236425781251</c:v>
                </c:pt>
                <c:pt idx="6">
                  <c:v>2298.7438358583699</c:v>
                </c:pt>
                <c:pt idx="7">
                  <c:v>5265.4695996093751</c:v>
                </c:pt>
                <c:pt idx="8">
                  <c:v>6075.106201171875</c:v>
                </c:pt>
                <c:pt idx="9">
                  <c:v>5817.7347851562499</c:v>
                </c:pt>
                <c:pt idx="10">
                  <c:v>5239.0061333785934</c:v>
                </c:pt>
                <c:pt idx="11">
                  <c:v>6965.8571582031254</c:v>
                </c:pt>
                <c:pt idx="12">
                  <c:v>10907.8874609375</c:v>
                </c:pt>
                <c:pt idx="13">
                  <c:v>16560.643476562502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5-3541-9C71-3BA55C72B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39536"/>
        <c:axId val="411538448"/>
      </c:barChart>
      <c:catAx>
        <c:axId val="41153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8448"/>
        <c:crosses val="autoZero"/>
        <c:auto val="1"/>
        <c:lblAlgn val="ctr"/>
        <c:lblOffset val="100"/>
        <c:noMultiLvlLbl val="0"/>
      </c:catAx>
      <c:valAx>
        <c:axId val="411538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95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9718140060849"/>
          <c:y val="0.14901950216041901"/>
          <c:w val="0.85446592494567353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data!$H$173</c:f>
              <c:strCache>
                <c:ptCount val="1"/>
                <c:pt idx="0">
                  <c:v>LAADS DAAC</c:v>
                </c:pt>
              </c:strCache>
            </c:strRef>
          </c:tx>
          <c:marker>
            <c:symbol val="none"/>
          </c:marker>
          <c:cat>
            <c:strRef>
              <c:f>data!$A$174:$A$187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data!$H$174:$H$187</c:f>
              <c:numCache>
                <c:formatCode>0.0%</c:formatCode>
                <c:ptCount val="14"/>
                <c:pt idx="0">
                  <c:v>0.37612140147288553</c:v>
                </c:pt>
                <c:pt idx="1">
                  <c:v>0.3058103975535168</c:v>
                </c:pt>
                <c:pt idx="2">
                  <c:v>0.31578103282369291</c:v>
                </c:pt>
                <c:pt idx="3">
                  <c:v>4.3380262737380361E-2</c:v>
                </c:pt>
                <c:pt idx="4">
                  <c:v>4.3854362508434164E-2</c:v>
                </c:pt>
                <c:pt idx="5">
                  <c:v>5.8026532011448598E-2</c:v>
                </c:pt>
                <c:pt idx="6">
                  <c:v>8.1791067069328469E-2</c:v>
                </c:pt>
                <c:pt idx="7">
                  <c:v>7.4258150022375985E-2</c:v>
                </c:pt>
                <c:pt idx="8">
                  <c:v>4.9782989069920694E-2</c:v>
                </c:pt>
                <c:pt idx="9">
                  <c:v>4.4672441541228819E-2</c:v>
                </c:pt>
                <c:pt idx="10">
                  <c:v>1.7952873706520385E-2</c:v>
                </c:pt>
                <c:pt idx="11">
                  <c:v>2.6685601841538575E-2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56-D443-9B6C-7B757CBED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537904"/>
        <c:axId val="411535728"/>
      </c:lineChart>
      <c:catAx>
        <c:axId val="41153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5728"/>
        <c:crosses val="autoZero"/>
        <c:auto val="1"/>
        <c:lblAlgn val="ctr"/>
        <c:lblOffset val="100"/>
        <c:noMultiLvlLbl val="0"/>
      </c:catAx>
      <c:valAx>
        <c:axId val="411535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79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LAADS 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Summary_data!$J$20</c:f>
              <c:strCache>
                <c:ptCount val="1"/>
                <c:pt idx="0">
                  <c:v>LAADS DAAC</c:v>
                </c:pt>
              </c:strCache>
            </c:strRef>
          </c:tx>
          <c:invertIfNegative val="0"/>
          <c:cat>
            <c:strRef>
              <c:f>Summary_data!$C$21:$C$35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Summary_data!$J$21:$J$35</c:f>
              <c:numCache>
                <c:formatCode>_(* #,##0.0_);_(* \(#,##0.0\);_(* "-"??_);_(@_)</c:formatCode>
                <c:ptCount val="15"/>
                <c:pt idx="0">
                  <c:v>33.570419000000001</c:v>
                </c:pt>
                <c:pt idx="1">
                  <c:v>47.736139999999999</c:v>
                </c:pt>
                <c:pt idx="2">
                  <c:v>47.205446000000002</c:v>
                </c:pt>
                <c:pt idx="3">
                  <c:v>79.756398000000004</c:v>
                </c:pt>
                <c:pt idx="4">
                  <c:v>98.766036999999997</c:v>
                </c:pt>
                <c:pt idx="5">
                  <c:v>95.246110000000002</c:v>
                </c:pt>
                <c:pt idx="6">
                  <c:v>135.28649799999999</c:v>
                </c:pt>
                <c:pt idx="7">
                  <c:v>196.13767899999999</c:v>
                </c:pt>
                <c:pt idx="8">
                  <c:v>360.64454699999999</c:v>
                </c:pt>
                <c:pt idx="9">
                  <c:v>230.71311800000001</c:v>
                </c:pt>
                <c:pt idx="10">
                  <c:v>107.761906</c:v>
                </c:pt>
                <c:pt idx="11">
                  <c:v>239.952279</c:v>
                </c:pt>
                <c:pt idx="12">
                  <c:v>371.42471999999998</c:v>
                </c:pt>
                <c:pt idx="13">
                  <c:v>455.37547700000005</c:v>
                </c:pt>
                <c:pt idx="14">
                  <c:v>536.58246099999997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9-4249-8D4A-C2A56BCD2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37360"/>
        <c:axId val="411538992"/>
      </c:barChart>
      <c:catAx>
        <c:axId val="41153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8992"/>
        <c:crosses val="autoZero"/>
        <c:auto val="1"/>
        <c:lblAlgn val="ctr"/>
        <c:lblOffset val="100"/>
        <c:noMultiLvlLbl val="0"/>
      </c:catAx>
      <c:valAx>
        <c:axId val="411538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73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data!$T$279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data!$T$280:$T$294</c:f>
              <c:numCache>
                <c:formatCode>_(* #,##0_);_(* \(#,##0\);_(* "-"??_);_(@_)</c:formatCode>
                <c:ptCount val="15"/>
                <c:pt idx="0">
                  <c:v>53574</c:v>
                </c:pt>
                <c:pt idx="1">
                  <c:v>64290</c:v>
                </c:pt>
                <c:pt idx="2">
                  <c:v>74206</c:v>
                </c:pt>
                <c:pt idx="3">
                  <c:v>87176</c:v>
                </c:pt>
                <c:pt idx="4">
                  <c:v>230192</c:v>
                </c:pt>
                <c:pt idx="5">
                  <c:v>652612</c:v>
                </c:pt>
                <c:pt idx="6">
                  <c:v>605342</c:v>
                </c:pt>
                <c:pt idx="7">
                  <c:v>466031</c:v>
                </c:pt>
                <c:pt idx="8">
                  <c:v>443373</c:v>
                </c:pt>
                <c:pt idx="9">
                  <c:v>412847</c:v>
                </c:pt>
                <c:pt idx="10">
                  <c:v>301594</c:v>
                </c:pt>
                <c:pt idx="11">
                  <c:v>217721</c:v>
                </c:pt>
                <c:pt idx="12">
                  <c:v>122447</c:v>
                </c:pt>
                <c:pt idx="13">
                  <c:v>179846</c:v>
                </c:pt>
                <c:pt idx="14">
                  <c:v>233162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0-9544-902F-87D7ADC48003}"/>
            </c:ext>
          </c:extLst>
        </c:ser>
        <c:ser>
          <c:idx val="1"/>
          <c:order val="1"/>
          <c:tx>
            <c:strRef>
              <c:f>data!$U$279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data!$U$280:$U$294</c:f>
              <c:numCache>
                <c:formatCode>_(* #,##0_);_(* \(#,##0\);_(* "-"??_);_(@_)</c:formatCode>
                <c:ptCount val="15"/>
                <c:pt idx="0">
                  <c:v>979938</c:v>
                </c:pt>
                <c:pt idx="1">
                  <c:v>1137682</c:v>
                </c:pt>
                <c:pt idx="2">
                  <c:v>1298537</c:v>
                </c:pt>
                <c:pt idx="3">
                  <c:v>1513257</c:v>
                </c:pt>
                <c:pt idx="4">
                  <c:v>3059401</c:v>
                </c:pt>
                <c:pt idx="5">
                  <c:v>7811167</c:v>
                </c:pt>
                <c:pt idx="6">
                  <c:v>7137162</c:v>
                </c:pt>
                <c:pt idx="7">
                  <c:v>5830786</c:v>
                </c:pt>
                <c:pt idx="8">
                  <c:v>5429821</c:v>
                </c:pt>
                <c:pt idx="9">
                  <c:v>4971411</c:v>
                </c:pt>
                <c:pt idx="10">
                  <c:v>3294341</c:v>
                </c:pt>
                <c:pt idx="11">
                  <c:v>3095213</c:v>
                </c:pt>
                <c:pt idx="12">
                  <c:v>880907</c:v>
                </c:pt>
                <c:pt idx="13">
                  <c:v>1336270</c:v>
                </c:pt>
                <c:pt idx="14">
                  <c:v>1894087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00-9544-902F-87D7ADC48003}"/>
            </c:ext>
          </c:extLst>
        </c:ser>
        <c:ser>
          <c:idx val="2"/>
          <c:order val="2"/>
          <c:tx>
            <c:strRef>
              <c:f>data!$V$279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data!$V$280:$V$294</c:f>
              <c:numCache>
                <c:formatCode>_(* #,##0_);_(* \(#,##0\);_(* "-"??_);_(@_)</c:formatCode>
                <c:ptCount val="15"/>
                <c:pt idx="0">
                  <c:v>17740</c:v>
                </c:pt>
                <c:pt idx="1">
                  <c:v>22482</c:v>
                </c:pt>
                <c:pt idx="2">
                  <c:v>29103</c:v>
                </c:pt>
                <c:pt idx="3">
                  <c:v>37412</c:v>
                </c:pt>
                <c:pt idx="4">
                  <c:v>118902</c:v>
                </c:pt>
                <c:pt idx="5">
                  <c:v>343312</c:v>
                </c:pt>
                <c:pt idx="6">
                  <c:v>310180</c:v>
                </c:pt>
                <c:pt idx="7">
                  <c:v>244340</c:v>
                </c:pt>
                <c:pt idx="8">
                  <c:v>232392</c:v>
                </c:pt>
                <c:pt idx="9">
                  <c:v>220035</c:v>
                </c:pt>
                <c:pt idx="10">
                  <c:v>169008</c:v>
                </c:pt>
                <c:pt idx="11">
                  <c:v>136357</c:v>
                </c:pt>
                <c:pt idx="12">
                  <c:v>62430</c:v>
                </c:pt>
                <c:pt idx="13">
                  <c:v>82313</c:v>
                </c:pt>
                <c:pt idx="14">
                  <c:v>127712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00-9544-902F-87D7ADC48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525392"/>
        <c:axId val="411534640"/>
      </c:barChart>
      <c:catAx>
        <c:axId val="411525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34640"/>
        <c:crosses val="autoZero"/>
        <c:auto val="1"/>
        <c:lblAlgn val="ctr"/>
        <c:lblOffset val="100"/>
        <c:noMultiLvlLbl val="0"/>
      </c:catAx>
      <c:valAx>
        <c:axId val="41153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2539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7711879662403353"/>
          <c:y val="0.15004639846534151"/>
          <c:w val="0.29596809593234891"/>
          <c:h val="0.106096380878652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NSIDC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data!$I$156</c:f>
              <c:strCache>
                <c:ptCount val="1"/>
                <c:pt idx="0">
                  <c:v>NSIDC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data!$A$157:$A$170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data!$I$157:$I$170</c:f>
              <c:numCache>
                <c:formatCode>_(* #,##0.00_);_(* \(#,##0.00\);_(* "-"??_);_(@_)</c:formatCode>
                <c:ptCount val="14"/>
                <c:pt idx="0">
                  <c:v>125.360509765625</c:v>
                </c:pt>
                <c:pt idx="1">
                  <c:v>63.571999999999996</c:v>
                </c:pt>
                <c:pt idx="2">
                  <c:v>66.057981445312507</c:v>
                </c:pt>
                <c:pt idx="3">
                  <c:v>64.431476562499995</c:v>
                </c:pt>
                <c:pt idx="4">
                  <c:v>63.890546874999998</c:v>
                </c:pt>
                <c:pt idx="5">
                  <c:v>108.343125</c:v>
                </c:pt>
                <c:pt idx="6">
                  <c:v>121.28570499155356</c:v>
                </c:pt>
                <c:pt idx="7">
                  <c:v>177.02448242187498</c:v>
                </c:pt>
                <c:pt idx="8">
                  <c:v>277.42061523437502</c:v>
                </c:pt>
                <c:pt idx="9">
                  <c:v>428.189697265625</c:v>
                </c:pt>
                <c:pt idx="10">
                  <c:v>619.30999999999995</c:v>
                </c:pt>
                <c:pt idx="11">
                  <c:v>1058.0313964843749</c:v>
                </c:pt>
                <c:pt idx="12">
                  <c:v>1393.63</c:v>
                </c:pt>
                <c:pt idx="13">
                  <c:v>2348.3197167968751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7-4248-A1F7-5F118CA82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90496"/>
        <c:axId val="412581792"/>
      </c:barChart>
      <c:catAx>
        <c:axId val="41259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1792"/>
        <c:crosses val="autoZero"/>
        <c:auto val="1"/>
        <c:lblAlgn val="ctr"/>
        <c:lblOffset val="100"/>
        <c:noMultiLvlLbl val="0"/>
      </c:catAx>
      <c:valAx>
        <c:axId val="412581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904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ASDC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Summary_data!$D$20</c:f>
              <c:strCache>
                <c:ptCount val="1"/>
                <c:pt idx="0">
                  <c:v>ASDC</c:v>
                </c:pt>
              </c:strCache>
            </c:strRef>
          </c:tx>
          <c:invertIfNegative val="0"/>
          <c:cat>
            <c:strRef>
              <c:f>Summary_data!$C$21:$C$35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Summary_data!$D$21:$D$35</c:f>
              <c:numCache>
                <c:formatCode>_(* #,##0.0_);_(* \(#,##0.0\);_(* "-"??_);_(@_)</c:formatCode>
                <c:ptCount val="15"/>
                <c:pt idx="0">
                  <c:v>0</c:v>
                </c:pt>
                <c:pt idx="1">
                  <c:v>3.5718839999999998</c:v>
                </c:pt>
                <c:pt idx="2">
                  <c:v>5.1073000000000004</c:v>
                </c:pt>
                <c:pt idx="3">
                  <c:v>4.4062020000000004</c:v>
                </c:pt>
                <c:pt idx="4">
                  <c:v>5.042249</c:v>
                </c:pt>
                <c:pt idx="5">
                  <c:v>10.626249</c:v>
                </c:pt>
                <c:pt idx="6">
                  <c:v>10.212370999999999</c:v>
                </c:pt>
                <c:pt idx="7">
                  <c:v>15.472293000000001</c:v>
                </c:pt>
                <c:pt idx="8">
                  <c:v>15.943277</c:v>
                </c:pt>
                <c:pt idx="9">
                  <c:v>18.483861999999998</c:v>
                </c:pt>
                <c:pt idx="10">
                  <c:v>31.037472000000001</c:v>
                </c:pt>
                <c:pt idx="11">
                  <c:v>26.575334999999999</c:v>
                </c:pt>
                <c:pt idx="12">
                  <c:v>36.577519000000002</c:v>
                </c:pt>
                <c:pt idx="13">
                  <c:v>22.938811000000001</c:v>
                </c:pt>
                <c:pt idx="14">
                  <c:v>24.043609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F-C245-8FB5-91DAE999A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22272"/>
        <c:axId val="361713024"/>
      </c:barChart>
      <c:catAx>
        <c:axId val="36172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3024"/>
        <c:crosses val="autoZero"/>
        <c:auto val="1"/>
        <c:lblAlgn val="ctr"/>
        <c:lblOffset val="100"/>
        <c:noMultiLvlLbl val="0"/>
      </c:catAx>
      <c:valAx>
        <c:axId val="361713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227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data!$I$173</c:f>
              <c:strCache>
                <c:ptCount val="1"/>
                <c:pt idx="0">
                  <c:v>NSIDC</c:v>
                </c:pt>
              </c:strCache>
            </c:strRef>
          </c:tx>
          <c:marker>
            <c:symbol val="none"/>
          </c:marker>
          <c:cat>
            <c:strRef>
              <c:f>data!$A$174:$A$187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data!$I$174:$I$187</c:f>
              <c:numCache>
                <c:formatCode>0.0%</c:formatCode>
                <c:ptCount val="14"/>
                <c:pt idx="0">
                  <c:v>2.2101237652255103E-2</c:v>
                </c:pt>
                <c:pt idx="1">
                  <c:v>3.9931447566698966E-3</c:v>
                </c:pt>
                <c:pt idx="2">
                  <c:v>6.7906928177372478E-3</c:v>
                </c:pt>
                <c:pt idx="3">
                  <c:v>1.4999808587129399E-3</c:v>
                </c:pt>
                <c:pt idx="4">
                  <c:v>1.9530765487696666E-2</c:v>
                </c:pt>
                <c:pt idx="5">
                  <c:v>7.6260909433726798E-3</c:v>
                </c:pt>
                <c:pt idx="6">
                  <c:v>2.2872950029919167E-2</c:v>
                </c:pt>
                <c:pt idx="7">
                  <c:v>2.2209925097333938E-2</c:v>
                </c:pt>
                <c:pt idx="8">
                  <c:v>2.1062864549578744E-2</c:v>
                </c:pt>
                <c:pt idx="9">
                  <c:v>2.854713716836561E-2</c:v>
                </c:pt>
                <c:pt idx="10">
                  <c:v>1.6933669693787727E-2</c:v>
                </c:pt>
                <c:pt idx="11">
                  <c:v>1.2598580677588827E-2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64-E841-AC3D-5C5FFA040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592128"/>
        <c:axId val="412583968"/>
      </c:lineChart>
      <c:catAx>
        <c:axId val="41259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3968"/>
        <c:crosses val="autoZero"/>
        <c:auto val="1"/>
        <c:lblAlgn val="ctr"/>
        <c:lblOffset val="100"/>
        <c:noMultiLvlLbl val="0"/>
      </c:catAx>
      <c:valAx>
        <c:axId val="412583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921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NSIDC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13348110180017"/>
          <c:y val="0.18225294239347301"/>
          <c:w val="0.84223682291260837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Summary_data!$K$20</c:f>
              <c:strCache>
                <c:ptCount val="1"/>
                <c:pt idx="0">
                  <c:v>NSIDC</c:v>
                </c:pt>
              </c:strCache>
            </c:strRef>
          </c:tx>
          <c:invertIfNegative val="0"/>
          <c:cat>
            <c:strRef>
              <c:f>Summary_data!$C$21:$C$35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Summary_data!$K$21:$K$35</c:f>
              <c:numCache>
                <c:formatCode>_(* #,##0.0_);_(* \(#,##0.0\);_(* "-"??_);_(@_)</c:formatCode>
                <c:ptCount val="15"/>
                <c:pt idx="0">
                  <c:v>0.64234100000000005</c:v>
                </c:pt>
                <c:pt idx="1">
                  <c:v>10.732725</c:v>
                </c:pt>
                <c:pt idx="2">
                  <c:v>17.247733</c:v>
                </c:pt>
                <c:pt idx="3">
                  <c:v>22.897912999999999</c:v>
                </c:pt>
                <c:pt idx="4">
                  <c:v>20.180631999999999</c:v>
                </c:pt>
                <c:pt idx="5">
                  <c:v>24.339347</c:v>
                </c:pt>
                <c:pt idx="6">
                  <c:v>38.223084999999998</c:v>
                </c:pt>
                <c:pt idx="7">
                  <c:v>67.730322000000001</c:v>
                </c:pt>
                <c:pt idx="8">
                  <c:v>70.647366000000005</c:v>
                </c:pt>
                <c:pt idx="9">
                  <c:v>82.185432000000006</c:v>
                </c:pt>
                <c:pt idx="10">
                  <c:v>102.272879</c:v>
                </c:pt>
                <c:pt idx="11">
                  <c:v>157.13142500000001</c:v>
                </c:pt>
                <c:pt idx="12">
                  <c:v>68.86139</c:v>
                </c:pt>
                <c:pt idx="13">
                  <c:v>81.46244999999999</c:v>
                </c:pt>
                <c:pt idx="14">
                  <c:v>64.506292000000002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1-5542-B67D-7A40D6F00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77984"/>
        <c:axId val="412578528"/>
      </c:barChart>
      <c:catAx>
        <c:axId val="41257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78528"/>
        <c:crosses val="autoZero"/>
        <c:auto val="1"/>
        <c:lblAlgn val="ctr"/>
        <c:lblOffset val="100"/>
        <c:noMultiLvlLbl val="0"/>
      </c:catAx>
      <c:valAx>
        <c:axId val="412578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779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data!$W$279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data!$W$280:$W$294</c:f>
              <c:numCache>
                <c:formatCode>_(* #,##0_);_(* \(#,##0\);_(* "-"??_);_(@_)</c:formatCode>
                <c:ptCount val="15"/>
                <c:pt idx="0">
                  <c:v>257646</c:v>
                </c:pt>
                <c:pt idx="1">
                  <c:v>347349</c:v>
                </c:pt>
                <c:pt idx="2">
                  <c:v>440891</c:v>
                </c:pt>
                <c:pt idx="3">
                  <c:v>435375</c:v>
                </c:pt>
                <c:pt idx="4">
                  <c:v>425601</c:v>
                </c:pt>
                <c:pt idx="5">
                  <c:v>536704</c:v>
                </c:pt>
                <c:pt idx="6">
                  <c:v>629406</c:v>
                </c:pt>
                <c:pt idx="7">
                  <c:v>645434</c:v>
                </c:pt>
                <c:pt idx="8">
                  <c:v>729565</c:v>
                </c:pt>
                <c:pt idx="9">
                  <c:v>766328</c:v>
                </c:pt>
                <c:pt idx="10">
                  <c:v>857579</c:v>
                </c:pt>
                <c:pt idx="11">
                  <c:v>798789</c:v>
                </c:pt>
                <c:pt idx="12">
                  <c:v>927701</c:v>
                </c:pt>
                <c:pt idx="13">
                  <c:v>767413</c:v>
                </c:pt>
                <c:pt idx="14">
                  <c:v>669496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2-F042-AC8C-502F363904F6}"/>
            </c:ext>
          </c:extLst>
        </c:ser>
        <c:ser>
          <c:idx val="1"/>
          <c:order val="1"/>
          <c:tx>
            <c:strRef>
              <c:f>data!$X$279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data!$X$280:$X$294</c:f>
              <c:numCache>
                <c:formatCode>_(* #,##0_);_(* \(#,##0\);_(* "-"??_);_(@_)</c:formatCode>
                <c:ptCount val="15"/>
                <c:pt idx="0">
                  <c:v>2285747</c:v>
                </c:pt>
                <c:pt idx="1">
                  <c:v>2710866</c:v>
                </c:pt>
                <c:pt idx="2">
                  <c:v>3202873</c:v>
                </c:pt>
                <c:pt idx="3">
                  <c:v>2700947</c:v>
                </c:pt>
                <c:pt idx="4">
                  <c:v>3745528</c:v>
                </c:pt>
                <c:pt idx="5">
                  <c:v>3727105</c:v>
                </c:pt>
                <c:pt idx="6">
                  <c:v>3935194</c:v>
                </c:pt>
                <c:pt idx="7">
                  <c:v>3629180</c:v>
                </c:pt>
                <c:pt idx="8">
                  <c:v>4032173</c:v>
                </c:pt>
                <c:pt idx="9">
                  <c:v>3772779</c:v>
                </c:pt>
                <c:pt idx="10">
                  <c:v>4071275</c:v>
                </c:pt>
                <c:pt idx="11">
                  <c:v>3813884</c:v>
                </c:pt>
                <c:pt idx="12">
                  <c:v>4242224</c:v>
                </c:pt>
                <c:pt idx="13">
                  <c:v>3326216</c:v>
                </c:pt>
                <c:pt idx="14">
                  <c:v>2872296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82-F042-AC8C-502F363904F6}"/>
            </c:ext>
          </c:extLst>
        </c:ser>
        <c:ser>
          <c:idx val="2"/>
          <c:order val="2"/>
          <c:tx>
            <c:strRef>
              <c:f>data!$Y$279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data!$Y$280:$Y$294</c:f>
              <c:numCache>
                <c:formatCode>_(* #,##0_);_(* \(#,##0\);_(* "-"??_);_(@_)</c:formatCode>
                <c:ptCount val="15"/>
                <c:pt idx="0">
                  <c:v>187325</c:v>
                </c:pt>
                <c:pt idx="1">
                  <c:v>244569</c:v>
                </c:pt>
                <c:pt idx="2">
                  <c:v>289997</c:v>
                </c:pt>
                <c:pt idx="3">
                  <c:v>287305</c:v>
                </c:pt>
                <c:pt idx="4">
                  <c:v>287337</c:v>
                </c:pt>
                <c:pt idx="5">
                  <c:v>356268</c:v>
                </c:pt>
                <c:pt idx="6">
                  <c:v>416514</c:v>
                </c:pt>
                <c:pt idx="7">
                  <c:v>446833</c:v>
                </c:pt>
                <c:pt idx="8">
                  <c:v>505990</c:v>
                </c:pt>
                <c:pt idx="9">
                  <c:v>524620</c:v>
                </c:pt>
                <c:pt idx="10">
                  <c:v>572807</c:v>
                </c:pt>
                <c:pt idx="11">
                  <c:v>541879</c:v>
                </c:pt>
                <c:pt idx="12">
                  <c:v>529431</c:v>
                </c:pt>
                <c:pt idx="13">
                  <c:v>426051</c:v>
                </c:pt>
                <c:pt idx="14">
                  <c:v>448288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82-F042-AC8C-502F36390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579616"/>
        <c:axId val="415382016"/>
      </c:barChart>
      <c:catAx>
        <c:axId val="412579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82016"/>
        <c:crosses val="autoZero"/>
        <c:auto val="1"/>
        <c:lblAlgn val="ctr"/>
        <c:lblOffset val="100"/>
        <c:noMultiLvlLbl val="0"/>
      </c:catAx>
      <c:valAx>
        <c:axId val="41538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7961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6778070208862929"/>
          <c:y val="0.12096856048110835"/>
          <c:w val="0.32764266896570593"/>
          <c:h val="0.1042552910375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ORNL Multi-Year Total Archive Volume Trend</a:t>
            </a:r>
          </a:p>
        </c:rich>
      </c:tx>
      <c:layout>
        <c:manualLayout>
          <c:xMode val="edge"/>
          <c:yMode val="edge"/>
          <c:x val="0.23771134344270589"/>
          <c:y val="5.62069995856057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data!$K$156</c:f>
              <c:strCache>
                <c:ptCount val="1"/>
                <c:pt idx="0">
                  <c:v>ORNL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data!$A$157:$A$170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data!$K$157:$K$170</c:f>
              <c:numCache>
                <c:formatCode>_(* #,##0.00_);_(* \(#,##0.00\);_(* "-"??_);_(@_)</c:formatCode>
                <c:ptCount val="14"/>
                <c:pt idx="1">
                  <c:v>0.38700000000000001</c:v>
                </c:pt>
                <c:pt idx="2">
                  <c:v>0.41019058227539062</c:v>
                </c:pt>
                <c:pt idx="3">
                  <c:v>4.6073242187500002E-2</c:v>
                </c:pt>
                <c:pt idx="4">
                  <c:v>0.615234375</c:v>
                </c:pt>
                <c:pt idx="5">
                  <c:v>143.19999999999999</c:v>
                </c:pt>
                <c:pt idx="6">
                  <c:v>175.490234375</c:v>
                </c:pt>
                <c:pt idx="7">
                  <c:v>183.447265625</c:v>
                </c:pt>
                <c:pt idx="8">
                  <c:v>197.0810546875</c:v>
                </c:pt>
                <c:pt idx="9">
                  <c:v>202.5</c:v>
                </c:pt>
                <c:pt idx="10">
                  <c:v>203.05</c:v>
                </c:pt>
                <c:pt idx="11">
                  <c:v>260.52</c:v>
                </c:pt>
                <c:pt idx="12">
                  <c:v>418.81</c:v>
                </c:pt>
                <c:pt idx="13">
                  <c:v>665.50272460937504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0-DD48-95CF-6C36E1127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78752"/>
        <c:axId val="415383648"/>
      </c:barChart>
      <c:catAx>
        <c:axId val="41537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3648"/>
        <c:crosses val="autoZero"/>
        <c:auto val="1"/>
        <c:lblAlgn val="ctr"/>
        <c:lblOffset val="100"/>
        <c:noMultiLvlLbl val="0"/>
      </c:catAx>
      <c:valAx>
        <c:axId val="415383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7875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89544528147"/>
          <c:y val="0.14901950216041901"/>
          <c:w val="0.85018021090100049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data!$K$173</c:f>
              <c:strCache>
                <c:ptCount val="1"/>
                <c:pt idx="0">
                  <c:v>ORNL</c:v>
                </c:pt>
              </c:strCache>
            </c:strRef>
          </c:tx>
          <c:marker>
            <c:symbol val="none"/>
          </c:marker>
          <c:cat>
            <c:strRef>
              <c:f>data!$A$174:$A$187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data!$K$174:$K$187</c:f>
              <c:numCache>
                <c:formatCode>0.0%</c:formatCode>
                <c:ptCount val="14"/>
                <c:pt idx="0">
                  <c:v>0.20388598818796541</c:v>
                </c:pt>
                <c:pt idx="1">
                  <c:v>0.23837126091312438</c:v>
                </c:pt>
                <c:pt idx="2">
                  <c:v>0.31703153988868277</c:v>
                </c:pt>
                <c:pt idx="3">
                  <c:v>0.38507605701281589</c:v>
                </c:pt>
                <c:pt idx="4">
                  <c:v>0.35461946373889014</c:v>
                </c:pt>
                <c:pt idx="5">
                  <c:v>0.38641611593279718</c:v>
                </c:pt>
                <c:pt idx="6">
                  <c:v>0.38235742604452577</c:v>
                </c:pt>
                <c:pt idx="7">
                  <c:v>0.3804569942411295</c:v>
                </c:pt>
                <c:pt idx="8">
                  <c:v>0.24058648533786656</c:v>
                </c:pt>
                <c:pt idx="9">
                  <c:v>0.23174839767476524</c:v>
                </c:pt>
                <c:pt idx="10">
                  <c:v>0.20900817074234537</c:v>
                </c:pt>
                <c:pt idx="11">
                  <c:v>0.20213306246825799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1-ED4F-9661-883000CC5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385824"/>
        <c:axId val="415381472"/>
      </c:lineChart>
      <c:catAx>
        <c:axId val="41538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1472"/>
        <c:crosses val="autoZero"/>
        <c:auto val="1"/>
        <c:lblAlgn val="ctr"/>
        <c:lblOffset val="100"/>
        <c:noMultiLvlLbl val="0"/>
      </c:catAx>
      <c:valAx>
        <c:axId val="415381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582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ORNL Multi-Year Product Distribution Trend</a:t>
            </a:r>
          </a:p>
        </c:rich>
      </c:tx>
      <c:layout>
        <c:manualLayout>
          <c:xMode val="edge"/>
          <c:yMode val="edge"/>
          <c:x val="0.24084493041413399"/>
          <c:y val="4.28740735325542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Summary_data!$M$20</c:f>
              <c:strCache>
                <c:ptCount val="1"/>
                <c:pt idx="0">
                  <c:v>ORNL</c:v>
                </c:pt>
              </c:strCache>
            </c:strRef>
          </c:tx>
          <c:invertIfNegative val="0"/>
          <c:cat>
            <c:strRef>
              <c:f>Summary_data!$C$21:$C$35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Summary_data!$M$21:$M$35</c:f>
              <c:numCache>
                <c:formatCode>_(* #,##0.0_);_(* \(#,##0.0\);_(* "-"??_);_(@_)</c:formatCode>
                <c:ptCount val="15"/>
                <c:pt idx="0">
                  <c:v>0</c:v>
                </c:pt>
                <c:pt idx="1">
                  <c:v>0.39932299999999998</c:v>
                </c:pt>
                <c:pt idx="2">
                  <c:v>7.6994199999999999</c:v>
                </c:pt>
                <c:pt idx="3">
                  <c:v>49.882874999999999</c:v>
                </c:pt>
                <c:pt idx="4">
                  <c:v>3.194725</c:v>
                </c:pt>
                <c:pt idx="5">
                  <c:v>6.7061929999999998</c:v>
                </c:pt>
                <c:pt idx="6">
                  <c:v>5.756697</c:v>
                </c:pt>
                <c:pt idx="7">
                  <c:v>13.607626</c:v>
                </c:pt>
                <c:pt idx="8">
                  <c:v>13.084823</c:v>
                </c:pt>
                <c:pt idx="9">
                  <c:v>31.550469</c:v>
                </c:pt>
                <c:pt idx="10">
                  <c:v>26.890238</c:v>
                </c:pt>
                <c:pt idx="11">
                  <c:v>34.901304000000003</c:v>
                </c:pt>
                <c:pt idx="12">
                  <c:v>52.227103999999997</c:v>
                </c:pt>
                <c:pt idx="13">
                  <c:v>31.767076999999997</c:v>
                </c:pt>
                <c:pt idx="14">
                  <c:v>68.714117999999999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9-BD48-BC74-A1AACCFB6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76032"/>
        <c:axId val="415383104"/>
      </c:barChart>
      <c:catAx>
        <c:axId val="41537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3104"/>
        <c:crosses val="autoZero"/>
        <c:auto val="1"/>
        <c:lblAlgn val="ctr"/>
        <c:lblOffset val="100"/>
        <c:noMultiLvlLbl val="0"/>
      </c:catAx>
      <c:valAx>
        <c:axId val="415383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760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data!$AC$279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data!$AC$280:$AC$294</c:f>
              <c:numCache>
                <c:formatCode>_(* #,##0_);_(* \(#,##0\);_(* "-"??_);_(@_)</c:formatCode>
                <c:ptCount val="15"/>
                <c:pt idx="0">
                  <c:v>11242</c:v>
                </c:pt>
                <c:pt idx="1">
                  <c:v>16433</c:v>
                </c:pt>
                <c:pt idx="2">
                  <c:v>19070</c:v>
                </c:pt>
                <c:pt idx="3">
                  <c:v>18437</c:v>
                </c:pt>
                <c:pt idx="4">
                  <c:v>11300</c:v>
                </c:pt>
                <c:pt idx="5">
                  <c:v>18181</c:v>
                </c:pt>
                <c:pt idx="6">
                  <c:v>17118</c:v>
                </c:pt>
                <c:pt idx="7">
                  <c:v>18982</c:v>
                </c:pt>
                <c:pt idx="8">
                  <c:v>14071</c:v>
                </c:pt>
                <c:pt idx="9">
                  <c:v>31846</c:v>
                </c:pt>
                <c:pt idx="10">
                  <c:v>46518</c:v>
                </c:pt>
                <c:pt idx="11">
                  <c:v>46775</c:v>
                </c:pt>
                <c:pt idx="12">
                  <c:v>61588</c:v>
                </c:pt>
                <c:pt idx="13">
                  <c:v>69470</c:v>
                </c:pt>
                <c:pt idx="14">
                  <c:v>68344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A-624B-98E0-29B07DE08B7E}"/>
            </c:ext>
          </c:extLst>
        </c:ser>
        <c:ser>
          <c:idx val="1"/>
          <c:order val="1"/>
          <c:tx>
            <c:strRef>
              <c:f>data!$AD$279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data!$AD$280:$AD$294</c:f>
              <c:numCache>
                <c:formatCode>_(* #,##0_);_(* \(#,##0\);_(* "-"??_);_(@_)</c:formatCode>
                <c:ptCount val="15"/>
                <c:pt idx="0">
                  <c:v>117277</c:v>
                </c:pt>
                <c:pt idx="1">
                  <c:v>152974</c:v>
                </c:pt>
                <c:pt idx="2">
                  <c:v>161490</c:v>
                </c:pt>
                <c:pt idx="3">
                  <c:v>152661</c:v>
                </c:pt>
                <c:pt idx="4">
                  <c:v>165812</c:v>
                </c:pt>
                <c:pt idx="5">
                  <c:v>103414</c:v>
                </c:pt>
                <c:pt idx="6">
                  <c:v>89676</c:v>
                </c:pt>
                <c:pt idx="7">
                  <c:v>113142</c:v>
                </c:pt>
                <c:pt idx="8">
                  <c:v>97324</c:v>
                </c:pt>
                <c:pt idx="9">
                  <c:v>275875</c:v>
                </c:pt>
                <c:pt idx="10">
                  <c:v>454588</c:v>
                </c:pt>
                <c:pt idx="11">
                  <c:v>637712</c:v>
                </c:pt>
                <c:pt idx="12">
                  <c:v>689021</c:v>
                </c:pt>
                <c:pt idx="13">
                  <c:v>614180</c:v>
                </c:pt>
                <c:pt idx="14">
                  <c:v>460733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3A-624B-98E0-29B07DE08B7E}"/>
            </c:ext>
          </c:extLst>
        </c:ser>
        <c:ser>
          <c:idx val="2"/>
          <c:order val="2"/>
          <c:tx>
            <c:strRef>
              <c:f>data!$AE$279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data!$AE$280:$AE$294</c:f>
              <c:numCache>
                <c:formatCode>_(* #,##0_);_(* \(#,##0\);_(* "-"??_);_(@_)</c:formatCode>
                <c:ptCount val="15"/>
                <c:pt idx="0">
                  <c:v>7857</c:v>
                </c:pt>
                <c:pt idx="1">
                  <c:v>11683</c:v>
                </c:pt>
                <c:pt idx="2">
                  <c:v>13974</c:v>
                </c:pt>
                <c:pt idx="3">
                  <c:v>13475</c:v>
                </c:pt>
                <c:pt idx="4">
                  <c:v>8349</c:v>
                </c:pt>
                <c:pt idx="5">
                  <c:v>14448</c:v>
                </c:pt>
                <c:pt idx="6">
                  <c:v>13493</c:v>
                </c:pt>
                <c:pt idx="7">
                  <c:v>14175</c:v>
                </c:pt>
                <c:pt idx="8">
                  <c:v>10766</c:v>
                </c:pt>
                <c:pt idx="9">
                  <c:v>23530</c:v>
                </c:pt>
                <c:pt idx="10">
                  <c:v>33545</c:v>
                </c:pt>
                <c:pt idx="11">
                  <c:v>34391</c:v>
                </c:pt>
                <c:pt idx="12">
                  <c:v>45672</c:v>
                </c:pt>
                <c:pt idx="13">
                  <c:v>58128</c:v>
                </c:pt>
                <c:pt idx="14">
                  <c:v>61243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3A-624B-98E0-29B07DE08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388544"/>
        <c:axId val="415384192"/>
      </c:barChart>
      <c:catAx>
        <c:axId val="415388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84192"/>
        <c:crosses val="autoZero"/>
        <c:auto val="1"/>
        <c:lblAlgn val="ctr"/>
        <c:lblOffset val="100"/>
        <c:noMultiLvlLbl val="0"/>
      </c:catAx>
      <c:valAx>
        <c:axId val="41538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8854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669786238172002"/>
          <c:y val="0.16377882764654417"/>
          <c:w val="0.32772510614530426"/>
          <c:h val="0.1042552910375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OB.DAAC</a:t>
            </a:r>
            <a:r>
              <a:rPr lang="en-US" baseline="0"/>
              <a:t> </a:t>
            </a:r>
            <a:r>
              <a:rPr lang="en-US"/>
              <a:t>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data!$J$156</c:f>
              <c:strCache>
                <c:ptCount val="1"/>
                <c:pt idx="0">
                  <c:v>OB.DAAC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data!$A$157:$A$170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data!$J$157:$J$170</c:f>
              <c:numCache>
                <c:formatCode>_(* #,##0.00_);_(* \(#,##0.00\);_(* "-"??_);_(@_)</c:formatCode>
                <c:ptCount val="14"/>
                <c:pt idx="9">
                  <c:v>3445.9434108734131</c:v>
                </c:pt>
                <c:pt idx="10">
                  <c:v>4931.5839999999998</c:v>
                </c:pt>
                <c:pt idx="11">
                  <c:v>4577.28</c:v>
                </c:pt>
                <c:pt idx="12">
                  <c:v>3416.1539746093749</c:v>
                </c:pt>
                <c:pt idx="13">
                  <c:v>4200.9305859374999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B-1143-885C-76A3F27E9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79296"/>
        <c:axId val="415384736"/>
      </c:barChart>
      <c:catAx>
        <c:axId val="41537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4736"/>
        <c:crosses val="autoZero"/>
        <c:auto val="1"/>
        <c:lblAlgn val="ctr"/>
        <c:lblOffset val="100"/>
        <c:noMultiLvlLbl val="0"/>
      </c:catAx>
      <c:valAx>
        <c:axId val="415384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792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8"/>
          <c:order val="0"/>
          <c:tx>
            <c:strRef>
              <c:f>data!$J$173</c:f>
              <c:strCache>
                <c:ptCount val="1"/>
                <c:pt idx="0">
                  <c:v>OB.DAAC</c:v>
                </c:pt>
              </c:strCache>
            </c:strRef>
          </c:tx>
          <c:marker>
            <c:symbol val="none"/>
          </c:marker>
          <c:cat>
            <c:strRef>
              <c:f>data!$A$174:$A$187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data!$J$174:$J$187</c:f>
              <c:numCache>
                <c:formatCode>0.0%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9E-AF4D-87EE-97DF44714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390720"/>
        <c:axId val="415385280"/>
      </c:lineChart>
      <c:catAx>
        <c:axId val="41539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5280"/>
        <c:crosses val="autoZero"/>
        <c:auto val="1"/>
        <c:lblAlgn val="ctr"/>
        <c:lblOffset val="100"/>
        <c:noMultiLvlLbl val="0"/>
      </c:catAx>
      <c:valAx>
        <c:axId val="415385280"/>
        <c:scaling>
          <c:orientation val="minMax"/>
          <c:max val="2.0000000000000004E-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90720"/>
        <c:crosses val="autoZero"/>
        <c:crossBetween val="between"/>
        <c:majorUnit val="5.000000000000001E-3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OB.DAAC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Summary_data!$L$20</c:f>
              <c:strCache>
                <c:ptCount val="1"/>
                <c:pt idx="0">
                  <c:v>OB.DAAC</c:v>
                </c:pt>
              </c:strCache>
            </c:strRef>
          </c:tx>
          <c:invertIfNegative val="0"/>
          <c:cat>
            <c:strRef>
              <c:f>Summary_data!$C$21:$C$35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Summary_data!$L$21:$L$35</c:f>
              <c:numCache>
                <c:formatCode>_(* #,##0.0_);_(* \(#,##0.0\);_(* "-"??_);_(@_)</c:formatCode>
                <c:ptCount val="15"/>
                <c:pt idx="0">
                  <c:v>0</c:v>
                </c:pt>
                <c:pt idx="1">
                  <c:v>10.672893999999999</c:v>
                </c:pt>
                <c:pt idx="2">
                  <c:v>8.655132</c:v>
                </c:pt>
                <c:pt idx="3">
                  <c:v>12.42596</c:v>
                </c:pt>
                <c:pt idx="4">
                  <c:v>20.538207</c:v>
                </c:pt>
                <c:pt idx="5">
                  <c:v>16.768246000000001</c:v>
                </c:pt>
                <c:pt idx="6">
                  <c:v>18.293759999999999</c:v>
                </c:pt>
                <c:pt idx="7">
                  <c:v>27.464272000000001</c:v>
                </c:pt>
                <c:pt idx="8">
                  <c:v>56.956518000000003</c:v>
                </c:pt>
                <c:pt idx="9">
                  <c:v>65.432243</c:v>
                </c:pt>
                <c:pt idx="10">
                  <c:v>47.917738</c:v>
                </c:pt>
                <c:pt idx="11">
                  <c:v>55.382038000000001</c:v>
                </c:pt>
                <c:pt idx="12">
                  <c:v>38.363185000000001</c:v>
                </c:pt>
                <c:pt idx="13">
                  <c:v>56.457978999999995</c:v>
                </c:pt>
                <c:pt idx="14">
                  <c:v>50.985855000000001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C-B642-A0B5-E16BACF47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86368"/>
        <c:axId val="415380384"/>
      </c:barChart>
      <c:catAx>
        <c:axId val="415386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0384"/>
        <c:crosses val="autoZero"/>
        <c:auto val="1"/>
        <c:lblAlgn val="ctr"/>
        <c:lblOffset val="100"/>
        <c:noMultiLvlLbl val="0"/>
      </c:catAx>
      <c:valAx>
        <c:axId val="415380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63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6982539214"/>
          <c:y val="7.7302006241750182E-2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data!$B$279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data!$B$280:$B$294</c:f>
              <c:numCache>
                <c:formatCode>_(* #,##0_);_(* \(#,##0\);_(* "-"??_);_(@_)</c:formatCode>
                <c:ptCount val="15"/>
                <c:pt idx="0">
                  <c:v>125817</c:v>
                </c:pt>
                <c:pt idx="1">
                  <c:v>145765</c:v>
                </c:pt>
                <c:pt idx="2">
                  <c:v>160681</c:v>
                </c:pt>
                <c:pt idx="3">
                  <c:v>191478</c:v>
                </c:pt>
                <c:pt idx="4">
                  <c:v>199316</c:v>
                </c:pt>
                <c:pt idx="5">
                  <c:v>165200</c:v>
                </c:pt>
                <c:pt idx="6">
                  <c:v>159750</c:v>
                </c:pt>
                <c:pt idx="7">
                  <c:v>47436</c:v>
                </c:pt>
                <c:pt idx="8">
                  <c:v>52864</c:v>
                </c:pt>
                <c:pt idx="9">
                  <c:v>55046</c:v>
                </c:pt>
                <c:pt idx="10">
                  <c:v>58238</c:v>
                </c:pt>
                <c:pt idx="11">
                  <c:v>67042</c:v>
                </c:pt>
                <c:pt idx="12">
                  <c:v>47666</c:v>
                </c:pt>
                <c:pt idx="13">
                  <c:v>37605</c:v>
                </c:pt>
                <c:pt idx="14">
                  <c:v>33355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F-324F-91DF-930FF83D0C45}"/>
            </c:ext>
          </c:extLst>
        </c:ser>
        <c:ser>
          <c:idx val="1"/>
          <c:order val="1"/>
          <c:tx>
            <c:strRef>
              <c:f>data!$C$279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data!$C$280:$C$294</c:f>
              <c:numCache>
                <c:formatCode>_(* #,##0_);_(* \(#,##0\);_(* "-"??_);_(@_)</c:formatCode>
                <c:ptCount val="15"/>
                <c:pt idx="0">
                  <c:v>1394032</c:v>
                </c:pt>
                <c:pt idx="1">
                  <c:v>1613397</c:v>
                </c:pt>
                <c:pt idx="2">
                  <c:v>1799677</c:v>
                </c:pt>
                <c:pt idx="3">
                  <c:v>2205316</c:v>
                </c:pt>
                <c:pt idx="4">
                  <c:v>2420483</c:v>
                </c:pt>
                <c:pt idx="5">
                  <c:v>1743569</c:v>
                </c:pt>
                <c:pt idx="6">
                  <c:v>1808786</c:v>
                </c:pt>
                <c:pt idx="7">
                  <c:v>483566</c:v>
                </c:pt>
                <c:pt idx="8">
                  <c:v>501339</c:v>
                </c:pt>
                <c:pt idx="9">
                  <c:v>542003</c:v>
                </c:pt>
                <c:pt idx="10">
                  <c:v>551711</c:v>
                </c:pt>
                <c:pt idx="11">
                  <c:v>818083</c:v>
                </c:pt>
                <c:pt idx="12">
                  <c:v>556331</c:v>
                </c:pt>
                <c:pt idx="13">
                  <c:v>410065</c:v>
                </c:pt>
                <c:pt idx="14">
                  <c:v>340844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BF-324F-91DF-930FF83D0C45}"/>
            </c:ext>
          </c:extLst>
        </c:ser>
        <c:ser>
          <c:idx val="2"/>
          <c:order val="2"/>
          <c:tx>
            <c:strRef>
              <c:f>data!$D$279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data!$D$280:$D$294</c:f>
              <c:numCache>
                <c:formatCode>_(* #,##0_);_(* \(#,##0\);_(* "-"??_);_(@_)</c:formatCode>
                <c:ptCount val="15"/>
                <c:pt idx="0">
                  <c:v>84470</c:v>
                </c:pt>
                <c:pt idx="1">
                  <c:v>96327</c:v>
                </c:pt>
                <c:pt idx="2">
                  <c:v>109905</c:v>
                </c:pt>
                <c:pt idx="3">
                  <c:v>129351</c:v>
                </c:pt>
                <c:pt idx="4">
                  <c:v>139685</c:v>
                </c:pt>
                <c:pt idx="5">
                  <c:v>106536</c:v>
                </c:pt>
                <c:pt idx="6">
                  <c:v>100981</c:v>
                </c:pt>
                <c:pt idx="7">
                  <c:v>31305</c:v>
                </c:pt>
                <c:pt idx="8">
                  <c:v>35782</c:v>
                </c:pt>
                <c:pt idx="9">
                  <c:v>38903</c:v>
                </c:pt>
                <c:pt idx="10">
                  <c:v>40974</c:v>
                </c:pt>
                <c:pt idx="11">
                  <c:v>49138</c:v>
                </c:pt>
                <c:pt idx="12">
                  <c:v>45365</c:v>
                </c:pt>
                <c:pt idx="13">
                  <c:v>45480</c:v>
                </c:pt>
                <c:pt idx="14">
                  <c:v>51095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BF-324F-91DF-930FF83D0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1716288"/>
        <c:axId val="361718464"/>
      </c:barChart>
      <c:catAx>
        <c:axId val="361716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18464"/>
        <c:crosses val="autoZero"/>
        <c:auto val="1"/>
        <c:lblAlgn val="ctr"/>
        <c:lblOffset val="100"/>
        <c:noMultiLvlLbl val="0"/>
      </c:catAx>
      <c:valAx>
        <c:axId val="36171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1628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9433402830789669"/>
          <c:y val="0.172369068950795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34"/>
          <c:order val="0"/>
          <c:tx>
            <c:strRef>
              <c:f>data!$Z$279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dPt>
            <c:idx val="1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469D-724B-A4BC-D66F0D6B693D}"/>
              </c:ext>
            </c:extLst>
          </c:dPt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data!$Z$280:$Z$294</c:f>
              <c:numCache>
                <c:formatCode>_(* #,##0_);_(* \(#,##0\);_(* "-"??_);_(@_)</c:formatCode>
                <c:ptCount val="15"/>
                <c:pt idx="13">
                  <c:v>108762</c:v>
                </c:pt>
                <c:pt idx="14">
                  <c:v>133631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3-F849-9F07-284EF8480667}"/>
            </c:ext>
          </c:extLst>
        </c:ser>
        <c:ser>
          <c:idx val="35"/>
          <c:order val="1"/>
          <c:tx>
            <c:strRef>
              <c:f>data!$AA$279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data!$AA$280:$AA$294</c:f>
              <c:numCache>
                <c:formatCode>_(* #,##0_);_(* \(#,##0\);_(* "-"??_);_(@_)</c:formatCode>
                <c:ptCount val="15"/>
                <c:pt idx="13">
                  <c:v>1933043</c:v>
                </c:pt>
                <c:pt idx="14">
                  <c:v>2113562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3-F849-9F07-284EF8480667}"/>
            </c:ext>
          </c:extLst>
        </c:ser>
        <c:ser>
          <c:idx val="36"/>
          <c:order val="2"/>
          <c:tx>
            <c:strRef>
              <c:f>data!$AB$279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data!$AB$280:$AB$294</c:f>
              <c:numCache>
                <c:formatCode>_(* #,##0_);_(* \(#,##0\);_(* "-"??_);_(@_)</c:formatCode>
                <c:ptCount val="15"/>
                <c:pt idx="13">
                  <c:v>64501</c:v>
                </c:pt>
                <c:pt idx="14">
                  <c:v>108303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3-F849-9F07-284EF8480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377664"/>
        <c:axId val="415388000"/>
      </c:barChart>
      <c:catAx>
        <c:axId val="415377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88000"/>
        <c:crosses val="autoZero"/>
        <c:auto val="1"/>
        <c:lblAlgn val="ctr"/>
        <c:lblOffset val="100"/>
        <c:noMultiLvlLbl val="0"/>
      </c:catAx>
      <c:valAx>
        <c:axId val="41538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7766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PO.DAAC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72725415267445"/>
          <c:y val="0.18228668594254499"/>
          <c:w val="0.8233319889631350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data!$L$156</c:f>
              <c:strCache>
                <c:ptCount val="1"/>
                <c:pt idx="0">
                  <c:v>PO.DAAC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data!$A$157:$A$170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data!$L$157:$L$170</c:f>
              <c:numCache>
                <c:formatCode>_(* #,##0.00_);_(* \(#,##0.00\);_(* "-"??_);_(@_)</c:formatCode>
                <c:ptCount val="14"/>
                <c:pt idx="0">
                  <c:v>21.843390625000001</c:v>
                </c:pt>
                <c:pt idx="1">
                  <c:v>29.620999999999999</c:v>
                </c:pt>
                <c:pt idx="2">
                  <c:v>32.902135742187497</c:v>
                </c:pt>
                <c:pt idx="3">
                  <c:v>36.163331054687497</c:v>
                </c:pt>
                <c:pt idx="4">
                  <c:v>41.469843750000003</c:v>
                </c:pt>
                <c:pt idx="5">
                  <c:v>44.454013671875003</c:v>
                </c:pt>
                <c:pt idx="6">
                  <c:v>54.879029105307303</c:v>
                </c:pt>
                <c:pt idx="7">
                  <c:v>89.562392578125014</c:v>
                </c:pt>
                <c:pt idx="8">
                  <c:v>164.003359375</c:v>
                </c:pt>
                <c:pt idx="9">
                  <c:v>245.70528320312502</c:v>
                </c:pt>
                <c:pt idx="10">
                  <c:v>314.8735548427951</c:v>
                </c:pt>
                <c:pt idx="11">
                  <c:v>456.55</c:v>
                </c:pt>
                <c:pt idx="12">
                  <c:v>672.48</c:v>
                </c:pt>
                <c:pt idx="13">
                  <c:v>1376.2587890625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D-7E45-9AE5-B9B1D733E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87456"/>
        <c:axId val="415389088"/>
      </c:barChart>
      <c:catAx>
        <c:axId val="41538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9088"/>
        <c:crosses val="autoZero"/>
        <c:auto val="1"/>
        <c:lblAlgn val="ctr"/>
        <c:lblOffset val="100"/>
        <c:noMultiLvlLbl val="0"/>
      </c:catAx>
      <c:valAx>
        <c:axId val="415389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745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26532186658235"/>
          <c:y val="0.14901950216041901"/>
          <c:w val="0.83889779275906018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data!$L$173</c:f>
              <c:strCache>
                <c:ptCount val="1"/>
                <c:pt idx="0">
                  <c:v>PO.DAAC</c:v>
                </c:pt>
              </c:strCache>
            </c:strRef>
          </c:tx>
          <c:marker>
            <c:symbol val="none"/>
          </c:marker>
          <c:cat>
            <c:strRef>
              <c:f>data!$A$174:$A$187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data!$L$174:$L$187</c:f>
              <c:numCache>
                <c:formatCode>0.0%</c:formatCode>
                <c:ptCount val="14"/>
                <c:pt idx="0">
                  <c:v>0.3592377107575398</c:v>
                </c:pt>
                <c:pt idx="1">
                  <c:v>0.30162634959682932</c:v>
                </c:pt>
                <c:pt idx="2">
                  <c:v>0.35940032414910861</c:v>
                </c:pt>
                <c:pt idx="3">
                  <c:v>0.13245337159253945</c:v>
                </c:pt>
                <c:pt idx="4">
                  <c:v>0.12790491396132694</c:v>
                </c:pt>
                <c:pt idx="5">
                  <c:v>0.37919999999999998</c:v>
                </c:pt>
                <c:pt idx="6">
                  <c:v>0.46317441419990257</c:v>
                </c:pt>
                <c:pt idx="7">
                  <c:v>0.30471387666139577</c:v>
                </c:pt>
                <c:pt idx="8">
                  <c:v>0.31115350981795054</c:v>
                </c:pt>
                <c:pt idx="9">
                  <c:v>0.3167139227455168</c:v>
                </c:pt>
                <c:pt idx="10">
                  <c:v>0.31003674616326826</c:v>
                </c:pt>
                <c:pt idx="11">
                  <c:v>0.2608115889323272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C94B-849E-E51872409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390176"/>
        <c:axId val="415386912"/>
      </c:lineChart>
      <c:catAx>
        <c:axId val="41539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6912"/>
        <c:crosses val="autoZero"/>
        <c:auto val="1"/>
        <c:lblAlgn val="ctr"/>
        <c:lblOffset val="100"/>
        <c:noMultiLvlLbl val="0"/>
      </c:catAx>
      <c:valAx>
        <c:axId val="415386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901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PO.DAAC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13345944469534"/>
          <c:y val="0.18225294239347301"/>
          <c:w val="0.84223684957772071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Summary_data!$N$20</c:f>
              <c:strCache>
                <c:ptCount val="1"/>
                <c:pt idx="0">
                  <c:v>PO.DAAC</c:v>
                </c:pt>
              </c:strCache>
            </c:strRef>
          </c:tx>
          <c:invertIfNegative val="0"/>
          <c:cat>
            <c:strRef>
              <c:f>Summary_data!$C$21:$C$35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Summary_data!$N$21:$N$35</c:f>
              <c:numCache>
                <c:formatCode>_(* #,##0.0_);_(* \(#,##0.0\);_(* "-"??_);_(@_)</c:formatCode>
                <c:ptCount val="15"/>
                <c:pt idx="0">
                  <c:v>0</c:v>
                </c:pt>
                <c:pt idx="1">
                  <c:v>16.487646000000002</c:v>
                </c:pt>
                <c:pt idx="2">
                  <c:v>31.722079000000001</c:v>
                </c:pt>
                <c:pt idx="3">
                  <c:v>50.334622000000003</c:v>
                </c:pt>
                <c:pt idx="4">
                  <c:v>38.272939999999998</c:v>
                </c:pt>
                <c:pt idx="5">
                  <c:v>54.068233999999997</c:v>
                </c:pt>
                <c:pt idx="6">
                  <c:v>89.251096000000004</c:v>
                </c:pt>
                <c:pt idx="7">
                  <c:v>71.263045000000005</c:v>
                </c:pt>
                <c:pt idx="8">
                  <c:v>77.176446999999996</c:v>
                </c:pt>
                <c:pt idx="9">
                  <c:v>93.017982000000003</c:v>
                </c:pt>
                <c:pt idx="10">
                  <c:v>87.788122999999999</c:v>
                </c:pt>
                <c:pt idx="11">
                  <c:v>48.444204999999997</c:v>
                </c:pt>
                <c:pt idx="12">
                  <c:v>68.885910999999993</c:v>
                </c:pt>
                <c:pt idx="13">
                  <c:v>59.36428999999999</c:v>
                </c:pt>
                <c:pt idx="14">
                  <c:v>8.4941469999999999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B-8D4E-9B8F-32A62E2A4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75488"/>
        <c:axId val="415380928"/>
      </c:barChart>
      <c:catAx>
        <c:axId val="41537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0928"/>
        <c:crosses val="autoZero"/>
        <c:auto val="1"/>
        <c:lblAlgn val="ctr"/>
        <c:lblOffset val="100"/>
        <c:noMultiLvlLbl val="0"/>
      </c:catAx>
      <c:valAx>
        <c:axId val="415380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754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67633224398172"/>
          <c:y val="0.143607581541664"/>
          <c:w val="0.8082901818184286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data!$AF$279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data!$AF$280:$AF$294</c:f>
              <c:numCache>
                <c:formatCode>_(* #,##0_);_(* \(#,##0\);_(* "-"??_);_(@_)</c:formatCode>
                <c:ptCount val="15"/>
                <c:pt idx="0">
                  <c:v>43722</c:v>
                </c:pt>
                <c:pt idx="1">
                  <c:v>24190</c:v>
                </c:pt>
                <c:pt idx="2">
                  <c:v>19878</c:v>
                </c:pt>
                <c:pt idx="3">
                  <c:v>19897</c:v>
                </c:pt>
                <c:pt idx="4">
                  <c:v>25614</c:v>
                </c:pt>
                <c:pt idx="5">
                  <c:v>28056</c:v>
                </c:pt>
                <c:pt idx="6">
                  <c:v>28531</c:v>
                </c:pt>
                <c:pt idx="7">
                  <c:v>29876</c:v>
                </c:pt>
                <c:pt idx="8">
                  <c:v>37165</c:v>
                </c:pt>
                <c:pt idx="9">
                  <c:v>36216</c:v>
                </c:pt>
                <c:pt idx="10">
                  <c:v>39732</c:v>
                </c:pt>
                <c:pt idx="11">
                  <c:v>40086</c:v>
                </c:pt>
                <c:pt idx="12">
                  <c:v>54854</c:v>
                </c:pt>
                <c:pt idx="13">
                  <c:v>59354</c:v>
                </c:pt>
                <c:pt idx="14">
                  <c:v>52948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B-0644-8815-871522D8417B}"/>
            </c:ext>
          </c:extLst>
        </c:ser>
        <c:ser>
          <c:idx val="1"/>
          <c:order val="1"/>
          <c:tx>
            <c:strRef>
              <c:f>data!$AG$279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data!$AG$280:$AG$294</c:f>
              <c:numCache>
                <c:formatCode>_(* #,##0_);_(* \(#,##0\);_(* "-"??_);_(@_)</c:formatCode>
                <c:ptCount val="15"/>
                <c:pt idx="0">
                  <c:v>479754</c:v>
                </c:pt>
                <c:pt idx="1">
                  <c:v>168092</c:v>
                </c:pt>
                <c:pt idx="2">
                  <c:v>111178</c:v>
                </c:pt>
                <c:pt idx="3">
                  <c:v>103047</c:v>
                </c:pt>
                <c:pt idx="4">
                  <c:v>205349</c:v>
                </c:pt>
                <c:pt idx="5">
                  <c:v>221636</c:v>
                </c:pt>
                <c:pt idx="6">
                  <c:v>206051</c:v>
                </c:pt>
                <c:pt idx="7">
                  <c:v>200215</c:v>
                </c:pt>
                <c:pt idx="8">
                  <c:v>270832</c:v>
                </c:pt>
                <c:pt idx="9">
                  <c:v>303768</c:v>
                </c:pt>
                <c:pt idx="10">
                  <c:v>343100</c:v>
                </c:pt>
                <c:pt idx="11">
                  <c:v>1354393</c:v>
                </c:pt>
                <c:pt idx="12">
                  <c:v>358241</c:v>
                </c:pt>
                <c:pt idx="13">
                  <c:v>397802</c:v>
                </c:pt>
                <c:pt idx="14">
                  <c:v>359113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BB-0644-8815-871522D8417B}"/>
            </c:ext>
          </c:extLst>
        </c:ser>
        <c:ser>
          <c:idx val="2"/>
          <c:order val="2"/>
          <c:tx>
            <c:strRef>
              <c:f>data!$AH$279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data!$AH$280:$AH$294</c:f>
              <c:numCache>
                <c:formatCode>_(* #,##0_);_(* \(#,##0\);_(* "-"??_);_(@_)</c:formatCode>
                <c:ptCount val="15"/>
                <c:pt idx="0">
                  <c:v>24748</c:v>
                </c:pt>
                <c:pt idx="1">
                  <c:v>16844</c:v>
                </c:pt>
                <c:pt idx="2">
                  <c:v>14634</c:v>
                </c:pt>
                <c:pt idx="3">
                  <c:v>14808</c:v>
                </c:pt>
                <c:pt idx="4">
                  <c:v>17425</c:v>
                </c:pt>
                <c:pt idx="5">
                  <c:v>19278</c:v>
                </c:pt>
                <c:pt idx="6">
                  <c:v>19950</c:v>
                </c:pt>
                <c:pt idx="7">
                  <c:v>21105</c:v>
                </c:pt>
                <c:pt idx="8">
                  <c:v>23399</c:v>
                </c:pt>
                <c:pt idx="9">
                  <c:v>25158</c:v>
                </c:pt>
                <c:pt idx="10">
                  <c:v>27157</c:v>
                </c:pt>
                <c:pt idx="11">
                  <c:v>27758</c:v>
                </c:pt>
                <c:pt idx="12">
                  <c:v>38963</c:v>
                </c:pt>
                <c:pt idx="13">
                  <c:v>39977</c:v>
                </c:pt>
                <c:pt idx="14">
                  <c:v>54355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BB-0644-8815-871522D84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117904"/>
        <c:axId val="417122800"/>
      </c:barChart>
      <c:catAx>
        <c:axId val="417117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2800"/>
        <c:crosses val="autoZero"/>
        <c:auto val="1"/>
        <c:lblAlgn val="ctr"/>
        <c:lblOffset val="100"/>
        <c:noMultiLvlLbl val="0"/>
      </c:catAx>
      <c:valAx>
        <c:axId val="41712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1790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3390721991439087"/>
          <c:y val="0.15466211723534559"/>
          <c:w val="0.32764266896570593"/>
          <c:h val="0.1042552910375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SEDAC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data!$M$156</c:f>
              <c:strCache>
                <c:ptCount val="1"/>
                <c:pt idx="0">
                  <c:v>SEDAC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data!$A$157:$A$170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data!$M$157:$M$170</c:f>
              <c:numCache>
                <c:formatCode>_(* #,##0.00_);_(* \(#,##0.00\);_(* "-"??_);_(@_)</c:formatCode>
                <c:ptCount val="14"/>
                <c:pt idx="2">
                  <c:v>2.722111328125</c:v>
                </c:pt>
                <c:pt idx="3">
                  <c:v>2.8863720703125</c:v>
                </c:pt>
                <c:pt idx="4">
                  <c:v>3.3079492187500001</c:v>
                </c:pt>
                <c:pt idx="5">
                  <c:v>3.3409765624999999</c:v>
                </c:pt>
                <c:pt idx="6">
                  <c:v>3.3594172669090723</c:v>
                </c:pt>
                <c:pt idx="7">
                  <c:v>3.3659960937500002</c:v>
                </c:pt>
                <c:pt idx="8">
                  <c:v>3.7205468750000001</c:v>
                </c:pt>
                <c:pt idx="9">
                  <c:v>3.88087890625</c:v>
                </c:pt>
                <c:pt idx="10">
                  <c:v>6.3339475886841603</c:v>
                </c:pt>
                <c:pt idx="11">
                  <c:v>7.0993457031249996</c:v>
                </c:pt>
                <c:pt idx="12">
                  <c:v>9.8629492187499999</c:v>
                </c:pt>
                <c:pt idx="13">
                  <c:v>10.573564453125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8-F945-80C1-1C4C55384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17360"/>
        <c:axId val="417118992"/>
      </c:barChart>
      <c:catAx>
        <c:axId val="41711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18992"/>
        <c:crosses val="autoZero"/>
        <c:auto val="1"/>
        <c:lblAlgn val="ctr"/>
        <c:lblOffset val="100"/>
        <c:noMultiLvlLbl val="0"/>
      </c:catAx>
      <c:valAx>
        <c:axId val="417118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173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4971901634679"/>
          <c:y val="0.14901950216041901"/>
          <c:w val="0.85421339560929577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data!$M$173</c:f>
              <c:strCache>
                <c:ptCount val="1"/>
                <c:pt idx="0">
                  <c:v>SEDAC</c:v>
                </c:pt>
              </c:strCache>
            </c:strRef>
          </c:tx>
          <c:marker>
            <c:symbol val="none"/>
          </c:marker>
          <c:cat>
            <c:strRef>
              <c:f>data!$A$174:$A$187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data!$M$174:$M$187</c:f>
              <c:numCache>
                <c:formatCode>0.0%</c:formatCode>
                <c:ptCount val="14"/>
                <c:pt idx="1">
                  <c:v>8.0167851693126846E-2</c:v>
                </c:pt>
                <c:pt idx="2">
                  <c:v>0.27430263839031882</c:v>
                </c:pt>
                <c:pt idx="3">
                  <c:v>0.23747127802868234</c:v>
                </c:pt>
                <c:pt idx="4">
                  <c:v>0.32130439995204413</c:v>
                </c:pt>
                <c:pt idx="5">
                  <c:v>0.44425840829096597</c:v>
                </c:pt>
                <c:pt idx="6">
                  <c:v>0.53636570770725156</c:v>
                </c:pt>
                <c:pt idx="7">
                  <c:v>0.66219541877383237</c:v>
                </c:pt>
                <c:pt idx="8">
                  <c:v>0.64436276862734343</c:v>
                </c:pt>
                <c:pt idx="9">
                  <c:v>0.55262922038846141</c:v>
                </c:pt>
                <c:pt idx="10">
                  <c:v>0.24505321765842303</c:v>
                </c:pt>
                <c:pt idx="11">
                  <c:v>0.22780461142034869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C-F04C-8CDC-F2219574E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129328"/>
        <c:axId val="417116272"/>
      </c:lineChart>
      <c:catAx>
        <c:axId val="41712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16272"/>
        <c:crosses val="autoZero"/>
        <c:auto val="1"/>
        <c:lblAlgn val="ctr"/>
        <c:lblOffset val="100"/>
        <c:noMultiLvlLbl val="0"/>
      </c:catAx>
      <c:valAx>
        <c:axId val="417116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93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SEDAC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Summary_data!$O$20</c:f>
              <c:strCache>
                <c:ptCount val="1"/>
                <c:pt idx="0">
                  <c:v>SEDAC</c:v>
                </c:pt>
              </c:strCache>
            </c:strRef>
          </c:tx>
          <c:invertIfNegative val="0"/>
          <c:cat>
            <c:strRef>
              <c:f>Summary_data!$C$21:$C$35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Summary_data!$O$21:$O$35</c:f>
              <c:numCache>
                <c:formatCode>_(* #,##0.0_);_(* \(#,##0.0\);_(* "-"??_);_(@_)</c:formatCode>
                <c:ptCount val="15"/>
                <c:pt idx="0">
                  <c:v>0</c:v>
                </c:pt>
                <c:pt idx="1">
                  <c:v>7.4131000000000002E-2</c:v>
                </c:pt>
                <c:pt idx="2">
                  <c:v>0.49062</c:v>
                </c:pt>
                <c:pt idx="3">
                  <c:v>3.5663849999999999</c:v>
                </c:pt>
                <c:pt idx="4">
                  <c:v>4.1586509999999999</c:v>
                </c:pt>
                <c:pt idx="5">
                  <c:v>1.5993269999999999</c:v>
                </c:pt>
                <c:pt idx="6">
                  <c:v>4.6872220000000002</c:v>
                </c:pt>
                <c:pt idx="7">
                  <c:v>6.3922129999999999</c:v>
                </c:pt>
                <c:pt idx="8">
                  <c:v>7.6517379999999999</c:v>
                </c:pt>
                <c:pt idx="9">
                  <c:v>5.7873919999999996</c:v>
                </c:pt>
                <c:pt idx="10">
                  <c:v>3.5554549999999998</c:v>
                </c:pt>
                <c:pt idx="11">
                  <c:v>0.89733200000000002</c:v>
                </c:pt>
                <c:pt idx="12">
                  <c:v>1.3879220000000001</c:v>
                </c:pt>
                <c:pt idx="13">
                  <c:v>1.322913</c:v>
                </c:pt>
                <c:pt idx="14">
                  <c:v>1.268106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8-3644-A213-705A523C7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19536"/>
        <c:axId val="417130416"/>
      </c:barChart>
      <c:catAx>
        <c:axId val="41711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30416"/>
        <c:crosses val="autoZero"/>
        <c:auto val="1"/>
        <c:lblAlgn val="ctr"/>
        <c:lblOffset val="100"/>
        <c:noMultiLvlLbl val="0"/>
      </c:catAx>
      <c:valAx>
        <c:axId val="417130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195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09760399738599"/>
          <c:y val="0.143607581541664"/>
          <c:w val="0.79186881127911657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data!$AI$279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data!$AI$280:$AI$294</c:f>
              <c:numCache>
                <c:formatCode>_(* #,##0_);_(* \(#,##0\);_(* "-"??_);_(@_)</c:formatCode>
                <c:ptCount val="15"/>
                <c:pt idx="2">
                  <c:v>155635</c:v>
                </c:pt>
                <c:pt idx="3">
                  <c:v>142290</c:v>
                </c:pt>
                <c:pt idx="4">
                  <c:v>119831</c:v>
                </c:pt>
                <c:pt idx="5">
                  <c:v>127843</c:v>
                </c:pt>
                <c:pt idx="6">
                  <c:v>106840</c:v>
                </c:pt>
                <c:pt idx="7">
                  <c:v>107864</c:v>
                </c:pt>
                <c:pt idx="8">
                  <c:v>89576</c:v>
                </c:pt>
                <c:pt idx="9">
                  <c:v>88746</c:v>
                </c:pt>
                <c:pt idx="10">
                  <c:v>94980</c:v>
                </c:pt>
                <c:pt idx="11">
                  <c:v>103800</c:v>
                </c:pt>
                <c:pt idx="12">
                  <c:v>116716</c:v>
                </c:pt>
                <c:pt idx="13">
                  <c:v>132816</c:v>
                </c:pt>
                <c:pt idx="14">
                  <c:v>136290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6748-939D-79BA2D2BAB9E}"/>
            </c:ext>
          </c:extLst>
        </c:ser>
        <c:ser>
          <c:idx val="1"/>
          <c:order val="1"/>
          <c:tx>
            <c:strRef>
              <c:f>data!$AJ$279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data!$AJ$280:$AJ$294</c:f>
              <c:numCache>
                <c:formatCode>_(* #,##0_);_(* \(#,##0\);_(* "-"??_);_(@_)</c:formatCode>
                <c:ptCount val="15"/>
                <c:pt idx="2">
                  <c:v>921255</c:v>
                </c:pt>
                <c:pt idx="3">
                  <c:v>801448</c:v>
                </c:pt>
                <c:pt idx="4">
                  <c:v>714477</c:v>
                </c:pt>
                <c:pt idx="5">
                  <c:v>813099</c:v>
                </c:pt>
                <c:pt idx="6">
                  <c:v>917822</c:v>
                </c:pt>
                <c:pt idx="7">
                  <c:v>895322</c:v>
                </c:pt>
                <c:pt idx="8">
                  <c:v>938136</c:v>
                </c:pt>
                <c:pt idx="9">
                  <c:v>893022</c:v>
                </c:pt>
                <c:pt idx="10">
                  <c:v>923167</c:v>
                </c:pt>
                <c:pt idx="11">
                  <c:v>1788088</c:v>
                </c:pt>
                <c:pt idx="12">
                  <c:v>1207528</c:v>
                </c:pt>
                <c:pt idx="13">
                  <c:v>1290401</c:v>
                </c:pt>
                <c:pt idx="14">
                  <c:v>1208305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4C-6748-939D-79BA2D2BAB9E}"/>
            </c:ext>
          </c:extLst>
        </c:ser>
        <c:ser>
          <c:idx val="2"/>
          <c:order val="2"/>
          <c:tx>
            <c:strRef>
              <c:f>data!$AK$279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data!$AK$280:$AK$294</c:f>
              <c:numCache>
                <c:formatCode>_(* #,##0_);_(* \(#,##0\);_(* "-"??_);_(@_)</c:formatCode>
                <c:ptCount val="15"/>
                <c:pt idx="2">
                  <c:v>123204</c:v>
                </c:pt>
                <c:pt idx="3">
                  <c:v>117837</c:v>
                </c:pt>
                <c:pt idx="4">
                  <c:v>100968</c:v>
                </c:pt>
                <c:pt idx="5">
                  <c:v>107713</c:v>
                </c:pt>
                <c:pt idx="6">
                  <c:v>87904</c:v>
                </c:pt>
                <c:pt idx="7">
                  <c:v>90311</c:v>
                </c:pt>
                <c:pt idx="8">
                  <c:v>73954</c:v>
                </c:pt>
                <c:pt idx="9">
                  <c:v>72917</c:v>
                </c:pt>
                <c:pt idx="10">
                  <c:v>78103</c:v>
                </c:pt>
                <c:pt idx="11">
                  <c:v>83337</c:v>
                </c:pt>
                <c:pt idx="12">
                  <c:v>92528</c:v>
                </c:pt>
                <c:pt idx="13">
                  <c:v>107117</c:v>
                </c:pt>
                <c:pt idx="14">
                  <c:v>114834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4C-6748-939D-79BA2D2BA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120080"/>
        <c:axId val="417120624"/>
      </c:barChart>
      <c:catAx>
        <c:axId val="41712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0624"/>
        <c:crosses val="autoZero"/>
        <c:auto val="1"/>
        <c:lblAlgn val="ctr"/>
        <c:lblOffset val="100"/>
        <c:noMultiLvlLbl val="0"/>
      </c:catAx>
      <c:valAx>
        <c:axId val="41712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008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6936434307551413"/>
          <c:y val="0.1457732283464567"/>
          <c:w val="0.32772510614530426"/>
          <c:h val="0.10425533277868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L_data!$B$159</c:f>
              <c:strCache>
                <c:ptCount val="1"/>
                <c:pt idx="0">
                  <c:v>one week</c:v>
                </c:pt>
              </c:strCache>
            </c:strRef>
          </c:tx>
          <c:invertIfNegative val="0"/>
          <c:cat>
            <c:strRef>
              <c:f>L_data!$A$160:$A$171</c:f>
              <c:strCache>
                <c:ptCount val="12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  <c:pt idx="10">
                  <c:v>FY20</c:v>
                </c:pt>
                <c:pt idx="11">
                  <c:v>FY21</c:v>
                </c:pt>
              </c:strCache>
            </c:strRef>
          </c:cat>
          <c:val>
            <c:numRef>
              <c:f>L_data!$B$160:$B$171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15.204008052518342</c:v>
                </c:pt>
                <c:pt idx="3">
                  <c:v>15.701408315805288</c:v>
                </c:pt>
                <c:pt idx="4">
                  <c:v>16.356479679987981</c:v>
                </c:pt>
                <c:pt idx="5">
                  <c:v>16.326743895168047</c:v>
                </c:pt>
                <c:pt idx="6">
                  <c:v>20.760576923076922</c:v>
                </c:pt>
                <c:pt idx="7">
                  <c:v>21.101483846799091</c:v>
                </c:pt>
                <c:pt idx="8">
                  <c:v>18.820522293356575</c:v>
                </c:pt>
                <c:pt idx="9">
                  <c:v>36.055543475983356</c:v>
                </c:pt>
                <c:pt idx="10">
                  <c:v>47.155829052723981</c:v>
                </c:pt>
                <c:pt idx="11">
                  <c:v>50.53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7-934B-95EC-E2B348C79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16816"/>
        <c:axId val="417126064"/>
      </c:barChart>
      <c:catAx>
        <c:axId val="41711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6064"/>
        <c:crosses val="autoZero"/>
        <c:auto val="1"/>
        <c:lblAlgn val="ctr"/>
        <c:lblOffset val="100"/>
        <c:noMultiLvlLbl val="0"/>
      </c:catAx>
      <c:valAx>
        <c:axId val="417126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Weekly Average Volume (TB)</a:t>
                </a:r>
              </a:p>
            </c:rich>
          </c:tx>
          <c:layout>
            <c:manualLayout>
              <c:xMode val="edge"/>
              <c:yMode val="edge"/>
              <c:x val="4.7572208652556257E-2"/>
              <c:y val="0.1377065178958414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1681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ASF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data!$C$156</c:f>
              <c:strCache>
                <c:ptCount val="1"/>
                <c:pt idx="0">
                  <c:v>ASF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data!$A$157:$A$170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data!$C$157:$C$170</c:f>
              <c:numCache>
                <c:formatCode>_(* #,##0.00_);_(* \(#,##0.00\);_(* "-"??_);_(@_)</c:formatCode>
                <c:ptCount val="14"/>
                <c:pt idx="0">
                  <c:v>255.6104873046875</c:v>
                </c:pt>
                <c:pt idx="1">
                  <c:v>376.68700000000001</c:v>
                </c:pt>
                <c:pt idx="2">
                  <c:v>448.4706982421875</c:v>
                </c:pt>
                <c:pt idx="3">
                  <c:v>1801.57</c:v>
                </c:pt>
                <c:pt idx="4">
                  <c:v>2654.908486328125</c:v>
                </c:pt>
                <c:pt idx="5">
                  <c:v>3597.0542089843748</c:v>
                </c:pt>
                <c:pt idx="6">
                  <c:v>1486.062054989158</c:v>
                </c:pt>
                <c:pt idx="7">
                  <c:v>2136.66015625</c:v>
                </c:pt>
                <c:pt idx="8">
                  <c:v>2656.0791894531249</c:v>
                </c:pt>
                <c:pt idx="9">
                  <c:v>5230.0020340442661</c:v>
                </c:pt>
                <c:pt idx="10">
                  <c:v>6550.8367006601075</c:v>
                </c:pt>
                <c:pt idx="11">
                  <c:v>9657.3361523437507</c:v>
                </c:pt>
                <c:pt idx="12">
                  <c:v>12023.376552734375</c:v>
                </c:pt>
                <c:pt idx="13">
                  <c:v>17521.439999999999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4-5A44-A381-802F91CEB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27712"/>
        <c:axId val="361717920"/>
      </c:barChart>
      <c:catAx>
        <c:axId val="36172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7920"/>
        <c:crosses val="autoZero"/>
        <c:auto val="1"/>
        <c:lblAlgn val="ctr"/>
        <c:lblOffset val="100"/>
        <c:noMultiLvlLbl val="0"/>
      </c:catAx>
      <c:valAx>
        <c:axId val="361717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77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5535193121098"/>
          <c:y val="0.14901950216041901"/>
          <c:w val="0.84160770982518418"/>
          <c:h val="0.688911978605747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L_Summary_data!$B$24:$B$35</c:f>
              <c:strCache>
                <c:ptCount val="12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  <c:pt idx="10">
                  <c:v>FY20</c:v>
                </c:pt>
                <c:pt idx="11">
                  <c:v>FY21</c:v>
                </c:pt>
              </c:strCache>
            </c:strRef>
          </c:cat>
          <c:val>
            <c:numRef>
              <c:f>L_Summary_data!$C$24:$C$35</c:f>
              <c:numCache>
                <c:formatCode>_(* #,##0.00_);_(* \(#,##0.00\);_(* "-"??_);_(@_)</c:formatCode>
                <c:ptCount val="12"/>
                <c:pt idx="0">
                  <c:v>239.357451171875</c:v>
                </c:pt>
                <c:pt idx="1">
                  <c:v>475.84899414062494</c:v>
                </c:pt>
                <c:pt idx="2">
                  <c:v>833.81921875</c:v>
                </c:pt>
                <c:pt idx="3">
                  <c:v>856.63578125000004</c:v>
                </c:pt>
                <c:pt idx="4">
                  <c:v>891.62641206054695</c:v>
                </c:pt>
                <c:pt idx="5">
                  <c:v>786.36682507619889</c:v>
                </c:pt>
                <c:pt idx="6" formatCode="_(* #,##0.0_);_(* \(#,##0.0\);_(* &quot;-&quot;??_);_(@_)">
                  <c:v>763.04</c:v>
                </c:pt>
                <c:pt idx="7" formatCode="_(* #,##0.0_);_(* \(#,##0.0\);_(* &quot;-&quot;??_);_(@_)">
                  <c:v>889.13361675249939</c:v>
                </c:pt>
                <c:pt idx="8" formatCode="_(* #,##0.0_);_(* \(#,##0.0\);_(* &quot;-&quot;??_);_(@_)">
                  <c:v>874.06199730241701</c:v>
                </c:pt>
                <c:pt idx="9" formatCode="_(* #,##0.0_);_(* \(#,##0.0\);_(* &quot;-&quot;??_);_(@_)">
                  <c:v>842.38937777741194</c:v>
                </c:pt>
                <c:pt idx="10">
                  <c:v>954.39680382275969</c:v>
                </c:pt>
                <c:pt idx="11">
                  <c:v>2287.2350702581357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3-E94F-B6A7-6B8A4FE78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21168"/>
        <c:axId val="417122256"/>
      </c:barChart>
      <c:catAx>
        <c:axId val="4171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2256"/>
        <c:crosses val="autoZero"/>
        <c:auto val="1"/>
        <c:lblAlgn val="ctr"/>
        <c:lblOffset val="100"/>
        <c:noMultiLvlLbl val="0"/>
      </c:catAx>
      <c:valAx>
        <c:axId val="417122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11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LANCE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L_Summary_data!$C$8</c:f>
              <c:strCache>
                <c:ptCount val="1"/>
                <c:pt idx="0">
                  <c:v>LANCE</c:v>
                </c:pt>
              </c:strCache>
            </c:strRef>
          </c:tx>
          <c:invertIfNegative val="0"/>
          <c:cat>
            <c:strRef>
              <c:f>L_Summary_data!$B$9:$B$20</c:f>
              <c:strCache>
                <c:ptCount val="12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  <c:pt idx="10">
                  <c:v>FY20</c:v>
                </c:pt>
                <c:pt idx="11">
                  <c:v>FY21</c:v>
                </c:pt>
              </c:strCache>
            </c:strRef>
          </c:cat>
          <c:val>
            <c:numRef>
              <c:f>L_Summary_data!$C$9:$C$20</c:f>
              <c:numCache>
                <c:formatCode>_(* #,##0.0_);_(* \(#,##0.0\);_(* "-"??_);_(@_)</c:formatCode>
                <c:ptCount val="12"/>
                <c:pt idx="0">
                  <c:v>17.264521999999999</c:v>
                </c:pt>
                <c:pt idx="1">
                  <c:v>22.105111999999998</c:v>
                </c:pt>
                <c:pt idx="2">
                  <c:v>65.958472999999998</c:v>
                </c:pt>
                <c:pt idx="3">
                  <c:v>89.748705000000001</c:v>
                </c:pt>
                <c:pt idx="4">
                  <c:v>69.865531000000004</c:v>
                </c:pt>
                <c:pt idx="5">
                  <c:v>72.539675000000003</c:v>
                </c:pt>
                <c:pt idx="6">
                  <c:v>76.3</c:v>
                </c:pt>
                <c:pt idx="7">
                  <c:v>123.179919</c:v>
                </c:pt>
                <c:pt idx="8">
                  <c:v>134.37852100000001</c:v>
                </c:pt>
                <c:pt idx="9">
                  <c:v>90.093598999999998</c:v>
                </c:pt>
                <c:pt idx="10">
                  <c:v>90.904066</c:v>
                </c:pt>
                <c:pt idx="11">
                  <c:v>125.12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F-AB4F-B9BB-AA9DDAB03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23344"/>
        <c:axId val="417123888"/>
      </c:barChart>
      <c:catAx>
        <c:axId val="41712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3888"/>
        <c:crosses val="autoZero"/>
        <c:auto val="1"/>
        <c:lblAlgn val="ctr"/>
        <c:lblOffset val="100"/>
        <c:noMultiLvlLbl val="0"/>
      </c:catAx>
      <c:valAx>
        <c:axId val="417123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9.8910104196542736E-3"/>
              <c:y val="0.1732886921629525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334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L_data!$B$305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L_data!$A$306:$A$317</c:f>
              <c:strCache>
                <c:ptCount val="12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  <c:pt idx="10">
                  <c:v>FY20</c:v>
                </c:pt>
                <c:pt idx="11">
                  <c:v>FY21</c:v>
                </c:pt>
              </c:strCache>
            </c:strRef>
          </c:cat>
          <c:val>
            <c:numRef>
              <c:f>L_data!$B$306:$B$317</c:f>
              <c:numCache>
                <c:formatCode>_(* #,##0_);_(* \(#,##0\);_(* "-"??_);_(@_)</c:formatCode>
                <c:ptCount val="12"/>
                <c:pt idx="2">
                  <c:v>592471</c:v>
                </c:pt>
                <c:pt idx="3">
                  <c:v>555306</c:v>
                </c:pt>
                <c:pt idx="4">
                  <c:v>399036</c:v>
                </c:pt>
                <c:pt idx="5">
                  <c:v>349520</c:v>
                </c:pt>
                <c:pt idx="6">
                  <c:v>318452</c:v>
                </c:pt>
                <c:pt idx="7">
                  <c:v>302452</c:v>
                </c:pt>
                <c:pt idx="8">
                  <c:v>294901</c:v>
                </c:pt>
                <c:pt idx="9" formatCode="#,##0">
                  <c:v>272524</c:v>
                </c:pt>
                <c:pt idx="10" formatCode="General">
                  <c:v>652966</c:v>
                </c:pt>
                <c:pt idx="11" formatCode="General">
                  <c:v>1551417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A-E74E-8599-2B6237B4829F}"/>
            </c:ext>
          </c:extLst>
        </c:ser>
        <c:ser>
          <c:idx val="1"/>
          <c:order val="1"/>
          <c:tx>
            <c:strRef>
              <c:f>L_data!$C$305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L_data!$A$306:$A$317</c:f>
              <c:strCache>
                <c:ptCount val="12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  <c:pt idx="10">
                  <c:v>FY20</c:v>
                </c:pt>
                <c:pt idx="11">
                  <c:v>FY21</c:v>
                </c:pt>
              </c:strCache>
            </c:strRef>
          </c:cat>
          <c:val>
            <c:numRef>
              <c:f>L_data!$C$306:$C$317</c:f>
              <c:numCache>
                <c:formatCode>_(* #,##0_);_(* \(#,##0\);_(* "-"??_);_(@_)</c:formatCode>
                <c:ptCount val="12"/>
                <c:pt idx="2">
                  <c:v>6582527</c:v>
                </c:pt>
                <c:pt idx="3">
                  <c:v>5791919</c:v>
                </c:pt>
                <c:pt idx="4">
                  <c:v>4085298</c:v>
                </c:pt>
                <c:pt idx="5">
                  <c:v>3443353</c:v>
                </c:pt>
                <c:pt idx="6">
                  <c:v>3076663</c:v>
                </c:pt>
                <c:pt idx="7">
                  <c:v>2925899</c:v>
                </c:pt>
                <c:pt idx="8">
                  <c:v>3706912</c:v>
                </c:pt>
                <c:pt idx="9" formatCode="#,##0">
                  <c:v>1106932</c:v>
                </c:pt>
                <c:pt idx="10" formatCode="General">
                  <c:v>2561596</c:v>
                </c:pt>
                <c:pt idx="11" formatCode="General">
                  <c:v>4861082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FA-E74E-8599-2B6237B4829F}"/>
            </c:ext>
          </c:extLst>
        </c:ser>
        <c:ser>
          <c:idx val="2"/>
          <c:order val="2"/>
          <c:tx>
            <c:strRef>
              <c:f>L_data!$D$305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L_data!$A$306:$A$317</c:f>
              <c:strCache>
                <c:ptCount val="12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  <c:pt idx="10">
                  <c:v>FY20</c:v>
                </c:pt>
                <c:pt idx="11">
                  <c:v>FY21</c:v>
                </c:pt>
              </c:strCache>
            </c:strRef>
          </c:cat>
          <c:val>
            <c:numRef>
              <c:f>L_data!$D$306:$D$317</c:f>
              <c:numCache>
                <c:formatCode>_(* #,##0_);_(* \(#,##0\);_(* "-"??_);_(@_)</c:formatCode>
                <c:ptCount val="12"/>
                <c:pt idx="2">
                  <c:v>325462</c:v>
                </c:pt>
                <c:pt idx="3">
                  <c:v>298036</c:v>
                </c:pt>
                <c:pt idx="4">
                  <c:v>224482</c:v>
                </c:pt>
                <c:pt idx="5">
                  <c:v>198199</c:v>
                </c:pt>
                <c:pt idx="6">
                  <c:v>185720</c:v>
                </c:pt>
                <c:pt idx="7">
                  <c:v>198199</c:v>
                </c:pt>
                <c:pt idx="8">
                  <c:v>197163</c:v>
                </c:pt>
                <c:pt idx="9" formatCode="#,##0">
                  <c:v>234658</c:v>
                </c:pt>
                <c:pt idx="10" formatCode="General">
                  <c:v>537745</c:v>
                </c:pt>
                <c:pt idx="11" formatCode="General">
                  <c:v>1064634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FA-E74E-8599-2B6237B48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124432"/>
        <c:axId val="417127152"/>
      </c:barChart>
      <c:catAx>
        <c:axId val="417124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7152"/>
        <c:crosses val="autoZero"/>
        <c:auto val="1"/>
        <c:lblAlgn val="ctr"/>
        <c:lblOffset val="100"/>
        <c:noMultiLvlLbl val="0"/>
      </c:catAx>
      <c:valAx>
        <c:axId val="41712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443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359046966237091"/>
          <c:y val="0.16789885105787741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data!$C$173</c:f>
              <c:strCache>
                <c:ptCount val="1"/>
                <c:pt idx="0">
                  <c:v>ASF</c:v>
                </c:pt>
              </c:strCache>
            </c:strRef>
          </c:tx>
          <c:marker>
            <c:symbol val="none"/>
          </c:marker>
          <c:cat>
            <c:strRef>
              <c:f>data!$A$174:$A$187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data!$C$174:$C$187</c:f>
              <c:numCache>
                <c:formatCode>0.0%</c:formatCode>
                <c:ptCount val="14"/>
                <c:pt idx="0">
                  <c:v>4.2850024912805179E-2</c:v>
                </c:pt>
                <c:pt idx="1">
                  <c:v>6.5149136577708003E-2</c:v>
                </c:pt>
                <c:pt idx="2">
                  <c:v>4.4993735049550065E-2</c:v>
                </c:pt>
                <c:pt idx="3">
                  <c:v>0.14648586707410235</c:v>
                </c:pt>
                <c:pt idx="4">
                  <c:v>0.20397167487684728</c:v>
                </c:pt>
                <c:pt idx="5">
                  <c:v>0.20597179983411668</c:v>
                </c:pt>
                <c:pt idx="6">
                  <c:v>0.14301525812317178</c:v>
                </c:pt>
                <c:pt idx="7">
                  <c:v>0.15005534433803358</c:v>
                </c:pt>
                <c:pt idx="8">
                  <c:v>0.28227502356723311</c:v>
                </c:pt>
                <c:pt idx="9">
                  <c:v>0.55823526083512509</c:v>
                </c:pt>
                <c:pt idx="10">
                  <c:v>0.4168061412448924</c:v>
                </c:pt>
                <c:pt idx="11">
                  <c:v>0.41821498650968847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27-C744-AA51-67CC33F42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727168"/>
        <c:axId val="361719008"/>
      </c:lineChart>
      <c:catAx>
        <c:axId val="36172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9008"/>
        <c:crosses val="autoZero"/>
        <c:auto val="1"/>
        <c:lblAlgn val="ctr"/>
        <c:lblOffset val="100"/>
        <c:noMultiLvlLbl val="0"/>
      </c:catAx>
      <c:valAx>
        <c:axId val="361719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71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ASF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Summary_data!$E$20</c:f>
              <c:strCache>
                <c:ptCount val="1"/>
                <c:pt idx="0">
                  <c:v>ASF</c:v>
                </c:pt>
              </c:strCache>
            </c:strRef>
          </c:tx>
          <c:invertIfNegative val="0"/>
          <c:cat>
            <c:strRef>
              <c:f>Summary_data!$C$21:$C$35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Summary_data!$E$21:$E$35</c:f>
              <c:numCache>
                <c:formatCode>_(* #,##0.0_);_(* \(#,##0.0\);_(* "-"??_);_(@_)</c:formatCode>
                <c:ptCount val="15"/>
                <c:pt idx="0">
                  <c:v>0</c:v>
                </c:pt>
                <c:pt idx="1">
                  <c:v>0.30386999999999997</c:v>
                </c:pt>
                <c:pt idx="2">
                  <c:v>0.47285700000000003</c:v>
                </c:pt>
                <c:pt idx="3">
                  <c:v>0.101671</c:v>
                </c:pt>
                <c:pt idx="4">
                  <c:v>0.36860900000000002</c:v>
                </c:pt>
                <c:pt idx="5">
                  <c:v>0.846248</c:v>
                </c:pt>
                <c:pt idx="6">
                  <c:v>0.67360799999999998</c:v>
                </c:pt>
                <c:pt idx="7">
                  <c:v>1.1101460000000001</c:v>
                </c:pt>
                <c:pt idx="8">
                  <c:v>2.0008599999999999</c:v>
                </c:pt>
                <c:pt idx="9">
                  <c:v>5.1804249999999996</c:v>
                </c:pt>
                <c:pt idx="10">
                  <c:v>6.6679250000000003</c:v>
                </c:pt>
                <c:pt idx="11">
                  <c:v>11.235903</c:v>
                </c:pt>
                <c:pt idx="12">
                  <c:v>31.991156</c:v>
                </c:pt>
                <c:pt idx="13">
                  <c:v>39.777545000000003</c:v>
                </c:pt>
                <c:pt idx="14">
                  <c:v>34.563133000000001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D-9845-B634-7BAE4E95C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22816"/>
        <c:axId val="361723360"/>
      </c:barChart>
      <c:catAx>
        <c:axId val="36172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3360"/>
        <c:crosses val="autoZero"/>
        <c:auto val="1"/>
        <c:lblAlgn val="ctr"/>
        <c:lblOffset val="100"/>
        <c:noMultiLvlLbl val="0"/>
      </c:catAx>
      <c:valAx>
        <c:axId val="361723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281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07"/>
          <c:y val="0.143607581541664"/>
          <c:w val="0.80852879025372704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data!$E$279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data!$E$280:$E$294</c:f>
              <c:numCache>
                <c:formatCode>_(* #,##0_);_(* \(#,##0\);_(* "-"??_);_(@_)</c:formatCode>
                <c:ptCount val="15"/>
                <c:pt idx="1">
                  <c:v>7745</c:v>
                </c:pt>
                <c:pt idx="2">
                  <c:v>6366</c:v>
                </c:pt>
                <c:pt idx="3">
                  <c:v>16270</c:v>
                </c:pt>
                <c:pt idx="4">
                  <c:v>13772</c:v>
                </c:pt>
                <c:pt idx="5">
                  <c:v>13439</c:v>
                </c:pt>
                <c:pt idx="6">
                  <c:v>13782</c:v>
                </c:pt>
                <c:pt idx="7">
                  <c:v>20584</c:v>
                </c:pt>
                <c:pt idx="8">
                  <c:v>30739</c:v>
                </c:pt>
                <c:pt idx="9">
                  <c:v>65720</c:v>
                </c:pt>
                <c:pt idx="10">
                  <c:v>108364</c:v>
                </c:pt>
                <c:pt idx="11">
                  <c:v>161646</c:v>
                </c:pt>
                <c:pt idx="12">
                  <c:v>227634</c:v>
                </c:pt>
                <c:pt idx="13">
                  <c:v>111889</c:v>
                </c:pt>
                <c:pt idx="14">
                  <c:v>480179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D-8C4D-83D4-812BA3AA57A9}"/>
            </c:ext>
          </c:extLst>
        </c:ser>
        <c:ser>
          <c:idx val="1"/>
          <c:order val="1"/>
          <c:tx>
            <c:strRef>
              <c:f>data!$F$279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data!$F$280:$F$294</c:f>
              <c:numCache>
                <c:formatCode>_(* #,##0_);_(* \(#,##0\);_(* "-"??_);_(@_)</c:formatCode>
                <c:ptCount val="15"/>
                <c:pt idx="1">
                  <c:v>86406</c:v>
                </c:pt>
                <c:pt idx="2">
                  <c:v>86010</c:v>
                </c:pt>
                <c:pt idx="3">
                  <c:v>184821</c:v>
                </c:pt>
                <c:pt idx="4">
                  <c:v>177994</c:v>
                </c:pt>
                <c:pt idx="5">
                  <c:v>124754</c:v>
                </c:pt>
                <c:pt idx="6">
                  <c:v>122536</c:v>
                </c:pt>
                <c:pt idx="7">
                  <c:v>142425</c:v>
                </c:pt>
                <c:pt idx="8">
                  <c:v>203901</c:v>
                </c:pt>
                <c:pt idx="9">
                  <c:v>295582</c:v>
                </c:pt>
                <c:pt idx="10">
                  <c:v>388556</c:v>
                </c:pt>
                <c:pt idx="11">
                  <c:v>551398</c:v>
                </c:pt>
                <c:pt idx="12">
                  <c:v>831919</c:v>
                </c:pt>
                <c:pt idx="13">
                  <c:v>447092</c:v>
                </c:pt>
                <c:pt idx="14">
                  <c:v>1230269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5D-8C4D-83D4-812BA3AA57A9}"/>
            </c:ext>
          </c:extLst>
        </c:ser>
        <c:ser>
          <c:idx val="2"/>
          <c:order val="2"/>
          <c:tx>
            <c:strRef>
              <c:f>data!$G$279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data!$A$280:$A$294</c:f>
              <c:strCache>
                <c:ptCount val="15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  <c:pt idx="14">
                  <c:v>FY21</c:v>
                </c:pt>
              </c:strCache>
            </c:strRef>
          </c:cat>
          <c:val>
            <c:numRef>
              <c:f>data!$G$280:$G$294</c:f>
              <c:numCache>
                <c:formatCode>_(* #,##0_);_(* \(#,##0\);_(* "-"??_);_(@_)</c:formatCode>
                <c:ptCount val="15"/>
                <c:pt idx="1">
                  <c:v>4014</c:v>
                </c:pt>
                <c:pt idx="2">
                  <c:v>2548</c:v>
                </c:pt>
                <c:pt idx="3">
                  <c:v>8779</c:v>
                </c:pt>
                <c:pt idx="4">
                  <c:v>5236</c:v>
                </c:pt>
                <c:pt idx="5">
                  <c:v>7258</c:v>
                </c:pt>
                <c:pt idx="6">
                  <c:v>8039</c:v>
                </c:pt>
                <c:pt idx="7">
                  <c:v>13983</c:v>
                </c:pt>
                <c:pt idx="8">
                  <c:v>20779</c:v>
                </c:pt>
                <c:pt idx="9">
                  <c:v>41371</c:v>
                </c:pt>
                <c:pt idx="10">
                  <c:v>70696</c:v>
                </c:pt>
                <c:pt idx="11">
                  <c:v>106949</c:v>
                </c:pt>
                <c:pt idx="12">
                  <c:v>134217</c:v>
                </c:pt>
                <c:pt idx="13">
                  <c:v>102102</c:v>
                </c:pt>
                <c:pt idx="14">
                  <c:v>327218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5D-8C4D-83D4-812BA3AA5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1728256"/>
        <c:axId val="361713568"/>
      </c:barChart>
      <c:catAx>
        <c:axId val="361728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1476271796111484"/>
              <c:y val="0.91895001711742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13568"/>
        <c:crosses val="autoZero"/>
        <c:auto val="1"/>
        <c:lblAlgn val="ctr"/>
        <c:lblOffset val="100"/>
        <c:noMultiLvlLbl val="0"/>
      </c:catAx>
      <c:valAx>
        <c:axId val="36171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2825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4775130045352498"/>
          <c:y val="0.1678989757628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CDDIS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data!$D$156</c:f>
              <c:strCache>
                <c:ptCount val="1"/>
                <c:pt idx="0">
                  <c:v>CDDIS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data!$A$157:$A$170</c:f>
              <c:strCache>
                <c:ptCount val="14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  <c:pt idx="13">
                  <c:v>FY21</c:v>
                </c:pt>
              </c:strCache>
            </c:strRef>
          </c:cat>
          <c:val>
            <c:numRef>
              <c:f>data!$D$157:$D$170</c:f>
              <c:numCache>
                <c:formatCode>_(* #,##0.00_);_(* \(#,##0.00\);_(* "-"??_);_(@_)</c:formatCode>
                <c:ptCount val="14"/>
                <c:pt idx="3">
                  <c:v>6.03</c:v>
                </c:pt>
                <c:pt idx="4">
                  <c:v>6.74</c:v>
                </c:pt>
                <c:pt idx="5">
                  <c:v>7.9962792968749996</c:v>
                </c:pt>
                <c:pt idx="6">
                  <c:v>11.422000000000001</c:v>
                </c:pt>
                <c:pt idx="7">
                  <c:v>13.209765624999999</c:v>
                </c:pt>
                <c:pt idx="8">
                  <c:v>17.5</c:v>
                </c:pt>
                <c:pt idx="9">
                  <c:v>20.16</c:v>
                </c:pt>
                <c:pt idx="10">
                  <c:v>16.437886757196779</c:v>
                </c:pt>
                <c:pt idx="11">
                  <c:v>30.91</c:v>
                </c:pt>
                <c:pt idx="12">
                  <c:v>38.22</c:v>
                </c:pt>
                <c:pt idx="13">
                  <c:v>51.2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1-654C-A331-88093BE5F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14656"/>
        <c:axId val="411529200"/>
      </c:barChart>
      <c:catAx>
        <c:axId val="36171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29200"/>
        <c:crosses val="autoZero"/>
        <c:auto val="1"/>
        <c:lblAlgn val="ctr"/>
        <c:lblOffset val="100"/>
        <c:noMultiLvlLbl val="0"/>
      </c:catAx>
      <c:valAx>
        <c:axId val="411529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465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10582</xdr:colOff>
      <xdr:row>12</xdr:row>
      <xdr:rowOff>219248</xdr:rowOff>
    </xdr:from>
    <xdr:to>
      <xdr:col>3</xdr:col>
      <xdr:colOff>1386416</xdr:colOff>
      <xdr:row>21</xdr:row>
      <xdr:rowOff>306916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14111</xdr:colOff>
      <xdr:row>22</xdr:row>
      <xdr:rowOff>151695</xdr:rowOff>
    </xdr:from>
    <xdr:to>
      <xdr:col>11</xdr:col>
      <xdr:colOff>0</xdr:colOff>
      <xdr:row>32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14110</xdr:colOff>
      <xdr:row>12</xdr:row>
      <xdr:rowOff>190500</xdr:rowOff>
    </xdr:from>
    <xdr:to>
      <xdr:col>10</xdr:col>
      <xdr:colOff>2017888</xdr:colOff>
      <xdr:row>21</xdr:row>
      <xdr:rowOff>268112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18343</xdr:colOff>
      <xdr:row>22</xdr:row>
      <xdr:rowOff>102304</xdr:rowOff>
    </xdr:from>
    <xdr:to>
      <xdr:col>3</xdr:col>
      <xdr:colOff>1368778</xdr:colOff>
      <xdr:row>32</xdr:row>
      <xdr:rowOff>112886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9071</xdr:colOff>
      <xdr:row>13</xdr:row>
      <xdr:rowOff>9597</xdr:rowOff>
    </xdr:from>
    <xdr:to>
      <xdr:col>4</xdr:col>
      <xdr:colOff>0</xdr:colOff>
      <xdr:row>22</xdr:row>
      <xdr:rowOff>211666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264079</xdr:colOff>
      <xdr:row>23</xdr:row>
      <xdr:rowOff>254907</xdr:rowOff>
    </xdr:from>
    <xdr:to>
      <xdr:col>11</xdr:col>
      <xdr:colOff>84667</xdr:colOff>
      <xdr:row>33</xdr:row>
      <xdr:rowOff>112889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2520</xdr:colOff>
      <xdr:row>13</xdr:row>
      <xdr:rowOff>9070</xdr:rowOff>
    </xdr:from>
    <xdr:to>
      <xdr:col>11</xdr:col>
      <xdr:colOff>49894</xdr:colOff>
      <xdr:row>22</xdr:row>
      <xdr:rowOff>185962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546804</xdr:colOff>
      <xdr:row>23</xdr:row>
      <xdr:rowOff>264582</xdr:rowOff>
    </xdr:from>
    <xdr:to>
      <xdr:col>4</xdr:col>
      <xdr:colOff>14110</xdr:colOff>
      <xdr:row>33</xdr:row>
      <xdr:rowOff>126999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437444</xdr:colOff>
      <xdr:row>29</xdr:row>
      <xdr:rowOff>98778</xdr:rowOff>
    </xdr:from>
    <xdr:to>
      <xdr:col>11</xdr:col>
      <xdr:colOff>84668</xdr:colOff>
      <xdr:row>31</xdr:row>
      <xdr:rowOff>197556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1938000" y="8692445"/>
          <a:ext cx="3033890" cy="74788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and onward this chart will not </a:t>
          </a:r>
        </a:p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have data available due to unavailability </a:t>
          </a:r>
        </a:p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of dual user information.</a:t>
          </a: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0.13796</cdr:x>
      <cdr:y>0.01203</cdr:y>
    </cdr:from>
    <cdr:to>
      <cdr:x>0.96033</cdr:x>
      <cdr:y>0.13151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3390" y="36164"/>
          <a:ext cx="5266031" cy="359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GESDISC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GESDISC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546805</xdr:colOff>
      <xdr:row>13</xdr:row>
      <xdr:rowOff>21692</xdr:rowOff>
    </xdr:from>
    <xdr:to>
      <xdr:col>3</xdr:col>
      <xdr:colOff>1397000</xdr:colOff>
      <xdr:row>22</xdr:row>
      <xdr:rowOff>194028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</xdr:colOff>
      <xdr:row>23</xdr:row>
      <xdr:rowOff>77609</xdr:rowOff>
    </xdr:from>
    <xdr:to>
      <xdr:col>11</xdr:col>
      <xdr:colOff>1</xdr:colOff>
      <xdr:row>32</xdr:row>
      <xdr:rowOff>310444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264584</xdr:colOff>
      <xdr:row>12</xdr:row>
      <xdr:rowOff>222252</xdr:rowOff>
    </xdr:from>
    <xdr:to>
      <xdr:col>10</xdr:col>
      <xdr:colOff>2229556</xdr:colOff>
      <xdr:row>22</xdr:row>
      <xdr:rowOff>155222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17640</xdr:colOff>
      <xdr:row>23</xdr:row>
      <xdr:rowOff>84666</xdr:rowOff>
    </xdr:from>
    <xdr:to>
      <xdr:col>4</xdr:col>
      <xdr:colOff>0</xdr:colOff>
      <xdr:row>32</xdr:row>
      <xdr:rowOff>268111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1058332</xdr:colOff>
      <xdr:row>29</xdr:row>
      <xdr:rowOff>169334</xdr:rowOff>
    </xdr:from>
    <xdr:to>
      <xdr:col>10</xdr:col>
      <xdr:colOff>2130774</xdr:colOff>
      <xdr:row>31</xdr:row>
      <xdr:rowOff>112890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12460110" y="8692445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GHRC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0.2278</cdr:x>
      <cdr:y>0.01378</cdr:y>
    </cdr:from>
    <cdr:to>
      <cdr:x>0.89317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48505" y="41418"/>
          <a:ext cx="3938730" cy="29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GHRC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3526</xdr:colOff>
      <xdr:row>12</xdr:row>
      <xdr:rowOff>211666</xdr:rowOff>
    </xdr:from>
    <xdr:to>
      <xdr:col>4</xdr:col>
      <xdr:colOff>28222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266095</xdr:colOff>
      <xdr:row>24</xdr:row>
      <xdr:rowOff>14110</xdr:rowOff>
    </xdr:from>
    <xdr:to>
      <xdr:col>11</xdr:col>
      <xdr:colOff>42333</xdr:colOff>
      <xdr:row>33</xdr:row>
      <xdr:rowOff>155223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1007</xdr:colOff>
      <xdr:row>13</xdr:row>
      <xdr:rowOff>24189</xdr:rowOff>
    </xdr:from>
    <xdr:to>
      <xdr:col>10</xdr:col>
      <xdr:colOff>2229556</xdr:colOff>
      <xdr:row>23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3178</xdr:colOff>
      <xdr:row>23</xdr:row>
      <xdr:rowOff>321028</xdr:rowOff>
    </xdr:from>
    <xdr:to>
      <xdr:col>4</xdr:col>
      <xdr:colOff>0</xdr:colOff>
      <xdr:row>33</xdr:row>
      <xdr:rowOff>81139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1001890</xdr:colOff>
      <xdr:row>29</xdr:row>
      <xdr:rowOff>239889</xdr:rowOff>
    </xdr:from>
    <xdr:to>
      <xdr:col>10</xdr:col>
      <xdr:colOff>2074332</xdr:colOff>
      <xdr:row>31</xdr:row>
      <xdr:rowOff>183445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12573001" y="8777111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0.14107</cdr:x>
      <cdr:y>0.02279</cdr:y>
    </cdr:from>
    <cdr:to>
      <cdr:x>0.95865</cdr:x>
      <cdr:y>0.1471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02524" y="77351"/>
          <a:ext cx="5230769" cy="421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LPDAAC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LPDAAC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546805</xdr:colOff>
      <xdr:row>12</xdr:row>
      <xdr:rowOff>219249</xdr:rowOff>
    </xdr:from>
    <xdr:to>
      <xdr:col>3</xdr:col>
      <xdr:colOff>1509889</xdr:colOff>
      <xdr:row>22</xdr:row>
      <xdr:rowOff>296333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5038</xdr:colOff>
      <xdr:row>23</xdr:row>
      <xdr:rowOff>120951</xdr:rowOff>
    </xdr:from>
    <xdr:to>
      <xdr:col>11</xdr:col>
      <xdr:colOff>42334</xdr:colOff>
      <xdr:row>33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11591</xdr:colOff>
      <xdr:row>12</xdr:row>
      <xdr:rowOff>208135</xdr:rowOff>
    </xdr:from>
    <xdr:to>
      <xdr:col>10</xdr:col>
      <xdr:colOff>2229556</xdr:colOff>
      <xdr:row>22</xdr:row>
      <xdr:rowOff>296332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24693</xdr:colOff>
      <xdr:row>23</xdr:row>
      <xdr:rowOff>169333</xdr:rowOff>
    </xdr:from>
    <xdr:to>
      <xdr:col>3</xdr:col>
      <xdr:colOff>1523999</xdr:colOff>
      <xdr:row>32</xdr:row>
      <xdr:rowOff>264582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1030112</xdr:colOff>
      <xdr:row>28</xdr:row>
      <xdr:rowOff>0</xdr:rowOff>
    </xdr:from>
    <xdr:to>
      <xdr:col>10</xdr:col>
      <xdr:colOff>2102554</xdr:colOff>
      <xdr:row>29</xdr:row>
      <xdr:rowOff>268111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12601223" y="8142111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ASDC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0.65851</cdr:x>
      <cdr:y>0.22541</cdr:y>
    </cdr:from>
    <cdr:to>
      <cdr:x>0.97699</cdr:x>
      <cdr:y>0.44812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73D5353-AA30-9448-8D26-62A3BE9265D7}"/>
            </a:ext>
          </a:extLst>
        </cdr:cNvPr>
        <cdr:cNvSpPr txBox="1"/>
      </cdr:nvSpPr>
      <cdr:spPr>
        <a:xfrm xmlns:a="http://schemas.openxmlformats.org/drawingml/2006/main">
          <a:off x="4441745" y="697381"/>
          <a:ext cx="2148142" cy="689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0.10406</cdr:x>
      <cdr:y>0.01203</cdr:y>
    </cdr:from>
    <cdr:to>
      <cdr:x>0.97535</cdr:x>
      <cdr:y>0.12185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0167" y="39584"/>
          <a:ext cx="5611296" cy="36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LAADS DAAC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0.19202</cdr:x>
      <cdr:y>0.01004</cdr:y>
    </cdr:from>
    <cdr:to>
      <cdr:x>0.85739</cdr:x>
      <cdr:y>0.10794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36082" y="28404"/>
          <a:ext cx="3936619" cy="276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LAADS DAAC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24695</xdr:colOff>
      <xdr:row>12</xdr:row>
      <xdr:rowOff>205138</xdr:rowOff>
    </xdr:from>
    <xdr:to>
      <xdr:col>3</xdr:col>
      <xdr:colOff>1400529</xdr:colOff>
      <xdr:row>21</xdr:row>
      <xdr:rowOff>292805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260300</xdr:colOff>
      <xdr:row>22</xdr:row>
      <xdr:rowOff>166763</xdr:rowOff>
    </xdr:from>
    <xdr:to>
      <xdr:col>11</xdr:col>
      <xdr:colOff>14111</xdr:colOff>
      <xdr:row>32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255573</xdr:colOff>
      <xdr:row>12</xdr:row>
      <xdr:rowOff>222627</xdr:rowOff>
    </xdr:from>
    <xdr:to>
      <xdr:col>10</xdr:col>
      <xdr:colOff>2231508</xdr:colOff>
      <xdr:row>21</xdr:row>
      <xdr:rowOff>310821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24694</xdr:colOff>
      <xdr:row>22</xdr:row>
      <xdr:rowOff>204610</xdr:rowOff>
    </xdr:from>
    <xdr:to>
      <xdr:col>3</xdr:col>
      <xdr:colOff>1425221</xdr:colOff>
      <xdr:row>32</xdr:row>
      <xdr:rowOff>24694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663221</xdr:colOff>
      <xdr:row>28</xdr:row>
      <xdr:rowOff>14112</xdr:rowOff>
    </xdr:from>
    <xdr:to>
      <xdr:col>10</xdr:col>
      <xdr:colOff>1735663</xdr:colOff>
      <xdr:row>29</xdr:row>
      <xdr:rowOff>282224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12036777" y="8226779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0.12141</cdr:x>
      <cdr:y>0.01686</cdr:y>
    </cdr:from>
    <cdr:to>
      <cdr:x>0.97282</cdr:x>
      <cdr:y>0.12185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5064" y="50671"/>
          <a:ext cx="5365047" cy="315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NSIDC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0.22601</cdr:x>
      <cdr:y>0.01731</cdr:y>
    </cdr:from>
    <cdr:to>
      <cdr:x>0.89138</cdr:x>
      <cdr:y>0.11521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37080" y="51855"/>
          <a:ext cx="3936383" cy="293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NSIDC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11464</xdr:colOff>
      <xdr:row>12</xdr:row>
      <xdr:rowOff>224979</xdr:rowOff>
    </xdr:from>
    <xdr:to>
      <xdr:col>3</xdr:col>
      <xdr:colOff>1425221</xdr:colOff>
      <xdr:row>22</xdr:row>
      <xdr:rowOff>28223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10711</xdr:colOff>
      <xdr:row>22</xdr:row>
      <xdr:rowOff>161772</xdr:rowOff>
    </xdr:from>
    <xdr:to>
      <xdr:col>11</xdr:col>
      <xdr:colOff>42335</xdr:colOff>
      <xdr:row>32</xdr:row>
      <xdr:rowOff>14111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29168</xdr:colOff>
      <xdr:row>13</xdr:row>
      <xdr:rowOff>35277</xdr:rowOff>
    </xdr:from>
    <xdr:to>
      <xdr:col>11</xdr:col>
      <xdr:colOff>28223</xdr:colOff>
      <xdr:row>22</xdr:row>
      <xdr:rowOff>8882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3176</xdr:colOff>
      <xdr:row>22</xdr:row>
      <xdr:rowOff>169334</xdr:rowOff>
    </xdr:from>
    <xdr:to>
      <xdr:col>4</xdr:col>
      <xdr:colOff>0</xdr:colOff>
      <xdr:row>31</xdr:row>
      <xdr:rowOff>296336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1044221</xdr:colOff>
      <xdr:row>28</xdr:row>
      <xdr:rowOff>141111</xdr:rowOff>
    </xdr:from>
    <xdr:to>
      <xdr:col>10</xdr:col>
      <xdr:colOff>2116663</xdr:colOff>
      <xdr:row>30</xdr:row>
      <xdr:rowOff>84667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12445999" y="8353778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ORNL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ORNL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550332</xdr:colOff>
      <xdr:row>13</xdr:row>
      <xdr:rowOff>1</xdr:rowOff>
    </xdr:from>
    <xdr:to>
      <xdr:col>4</xdr:col>
      <xdr:colOff>14110</xdr:colOff>
      <xdr:row>22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264584</xdr:colOff>
      <xdr:row>22</xdr:row>
      <xdr:rowOff>224363</xdr:rowOff>
    </xdr:from>
    <xdr:to>
      <xdr:col>11</xdr:col>
      <xdr:colOff>1</xdr:colOff>
      <xdr:row>31</xdr:row>
      <xdr:rowOff>285748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10583</xdr:colOff>
      <xdr:row>13</xdr:row>
      <xdr:rowOff>7053</xdr:rowOff>
    </xdr:from>
    <xdr:to>
      <xdr:col>11</xdr:col>
      <xdr:colOff>21167</xdr:colOff>
      <xdr:row>21</xdr:row>
      <xdr:rowOff>321026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14112</xdr:colOff>
      <xdr:row>22</xdr:row>
      <xdr:rowOff>197556</xdr:rowOff>
    </xdr:from>
    <xdr:to>
      <xdr:col>4</xdr:col>
      <xdr:colOff>0</xdr:colOff>
      <xdr:row>31</xdr:row>
      <xdr:rowOff>218723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1848555</xdr:colOff>
      <xdr:row>26</xdr:row>
      <xdr:rowOff>239887</xdr:rowOff>
    </xdr:from>
    <xdr:to>
      <xdr:col>1</xdr:col>
      <xdr:colOff>3811675</xdr:colOff>
      <xdr:row>27</xdr:row>
      <xdr:rowOff>261974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 rot="19720269">
          <a:off x="2398888" y="7986887"/>
          <a:ext cx="1963120" cy="34664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400" b="1"/>
            <a:t>Data Not Available</a:t>
          </a:r>
        </a:p>
      </xdr:txBody>
    </xdr:sp>
    <xdr:clientData/>
  </xdr:twoCellAnchor>
  <xdr:twoCellAnchor>
    <xdr:from>
      <xdr:col>9</xdr:col>
      <xdr:colOff>973666</xdr:colOff>
      <xdr:row>28</xdr:row>
      <xdr:rowOff>127000</xdr:rowOff>
    </xdr:from>
    <xdr:to>
      <xdr:col>10</xdr:col>
      <xdr:colOff>2046108</xdr:colOff>
      <xdr:row>30</xdr:row>
      <xdr:rowOff>70556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12375444" y="8523111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0.34</cdr:x>
      <cdr:y>0.52486</cdr:y>
    </cdr:from>
    <cdr:to>
      <cdr:x>0.59994</cdr:x>
      <cdr:y>0.64154</cdr:y>
    </cdr:to>
    <cdr:sp macro="" textlink="">
      <cdr:nvSpPr>
        <cdr:cNvPr id="3" name="TextBox 2"/>
        <cdr:cNvSpPr txBox="1"/>
      </cdr:nvSpPr>
      <cdr:spPr>
        <a:xfrm xmlns:a="http://schemas.openxmlformats.org/drawingml/2006/main" rot="19720269">
          <a:off x="2456445" y="1533118"/>
          <a:ext cx="1878038" cy="340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Data Not Available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0.2278</cdr:x>
      <cdr:y>0.02401</cdr:y>
    </cdr:from>
    <cdr:to>
      <cdr:x>0.89317</cdr:x>
      <cdr:y>0.12191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48421" y="74529"/>
          <a:ext cx="3938497" cy="303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ASDC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0.05553</cdr:x>
      <cdr:y>0.0072</cdr:y>
    </cdr:from>
    <cdr:to>
      <cdr:x>0.95971</cdr:x>
      <cdr:y>0.11702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9262" y="20275"/>
          <a:ext cx="5361547" cy="309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OB.DAAC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0.32226</cdr:x>
      <cdr:y>0.3929</cdr:y>
    </cdr:from>
    <cdr:to>
      <cdr:x>0.6026</cdr:x>
      <cdr:y>0.50913</cdr:y>
    </cdr:to>
    <cdr:sp macro="" textlink="">
      <cdr:nvSpPr>
        <cdr:cNvPr id="4" name="TextBox 1"/>
        <cdr:cNvSpPr txBox="1"/>
      </cdr:nvSpPr>
      <cdr:spPr>
        <a:xfrm xmlns:a="http://schemas.openxmlformats.org/drawingml/2006/main" rot="19720269">
          <a:off x="2179345" y="1171781"/>
          <a:ext cx="1895870" cy="346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Data Not Available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0.21522</cdr:x>
      <cdr:y>0.01378</cdr:y>
    </cdr:from>
    <cdr:to>
      <cdr:x>0.88059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70214" y="39571"/>
          <a:ext cx="3926995" cy="281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OB.DAAC Multi-Year Trend for Web Accesses- 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26898</xdr:colOff>
      <xdr:row>12</xdr:row>
      <xdr:rowOff>223658</xdr:rowOff>
    </xdr:from>
    <xdr:to>
      <xdr:col>3</xdr:col>
      <xdr:colOff>1411111</xdr:colOff>
      <xdr:row>21</xdr:row>
      <xdr:rowOff>310445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9007</xdr:colOff>
      <xdr:row>22</xdr:row>
      <xdr:rowOff>112636</xdr:rowOff>
    </xdr:from>
    <xdr:to>
      <xdr:col>11</xdr:col>
      <xdr:colOff>28222</xdr:colOff>
      <xdr:row>31</xdr:row>
      <xdr:rowOff>289277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261181</xdr:colOff>
      <xdr:row>12</xdr:row>
      <xdr:rowOff>220925</xdr:rowOff>
    </xdr:from>
    <xdr:to>
      <xdr:col>10</xdr:col>
      <xdr:colOff>2237116</xdr:colOff>
      <xdr:row>21</xdr:row>
      <xdr:rowOff>294126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17636</xdr:colOff>
      <xdr:row>22</xdr:row>
      <xdr:rowOff>127000</xdr:rowOff>
    </xdr:from>
    <xdr:to>
      <xdr:col>4</xdr:col>
      <xdr:colOff>0</xdr:colOff>
      <xdr:row>31</xdr:row>
      <xdr:rowOff>225778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1016000</xdr:colOff>
      <xdr:row>28</xdr:row>
      <xdr:rowOff>28221</xdr:rowOff>
    </xdr:from>
    <xdr:to>
      <xdr:col>10</xdr:col>
      <xdr:colOff>2088442</xdr:colOff>
      <xdr:row>29</xdr:row>
      <xdr:rowOff>296333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12460111" y="8226777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0.13119</cdr:x>
      <cdr:y>0.00715</cdr:y>
    </cdr:from>
    <cdr:to>
      <cdr:x>1</cdr:x>
      <cdr:y>0.12761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0471" y="21167"/>
          <a:ext cx="5499937" cy="356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PO.DAAC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0.20979</cdr:x>
      <cdr:y>0.01378</cdr:y>
    </cdr:from>
    <cdr:to>
      <cdr:x>0.87516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6277" y="40640"/>
          <a:ext cx="3920894" cy="288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PO.DAAC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12</xdr:row>
      <xdr:rowOff>193231</xdr:rowOff>
    </xdr:from>
    <xdr:to>
      <xdr:col>4</xdr:col>
      <xdr:colOff>89</xdr:colOff>
      <xdr:row>21</xdr:row>
      <xdr:rowOff>271373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20414</xdr:colOff>
      <xdr:row>22</xdr:row>
      <xdr:rowOff>53042</xdr:rowOff>
    </xdr:from>
    <xdr:to>
      <xdr:col>11</xdr:col>
      <xdr:colOff>14112</xdr:colOff>
      <xdr:row>31</xdr:row>
      <xdr:rowOff>183445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5479</xdr:colOff>
      <xdr:row>12</xdr:row>
      <xdr:rowOff>220422</xdr:rowOff>
    </xdr:from>
    <xdr:to>
      <xdr:col>11</xdr:col>
      <xdr:colOff>5859</xdr:colOff>
      <xdr:row>21</xdr:row>
      <xdr:rowOff>306915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24694</xdr:colOff>
      <xdr:row>22</xdr:row>
      <xdr:rowOff>28223</xdr:rowOff>
    </xdr:from>
    <xdr:to>
      <xdr:col>3</xdr:col>
      <xdr:colOff>1411111</xdr:colOff>
      <xdr:row>31</xdr:row>
      <xdr:rowOff>112889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973666</xdr:colOff>
      <xdr:row>28</xdr:row>
      <xdr:rowOff>42333</xdr:rowOff>
    </xdr:from>
    <xdr:to>
      <xdr:col>10</xdr:col>
      <xdr:colOff>2046108</xdr:colOff>
      <xdr:row>29</xdr:row>
      <xdr:rowOff>310445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12361333" y="8255000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0.13063</cdr:x>
      <cdr:y>0.01078</cdr:y>
    </cdr:from>
    <cdr:to>
      <cdr:x>0.95641</cdr:x>
      <cdr:y>0.1061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4538" y="31842"/>
          <a:ext cx="5212245" cy="2814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SEDAC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SEDAC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5745</xdr:colOff>
      <xdr:row>14</xdr:row>
      <xdr:rowOff>15256</xdr:rowOff>
    </xdr:from>
    <xdr:to>
      <xdr:col>4</xdr:col>
      <xdr:colOff>14111</xdr:colOff>
      <xdr:row>23</xdr:row>
      <xdr:rowOff>215194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265303</xdr:colOff>
      <xdr:row>24</xdr:row>
      <xdr:rowOff>36537</xdr:rowOff>
    </xdr:from>
    <xdr:to>
      <xdr:col>10</xdr:col>
      <xdr:colOff>2243665</xdr:colOff>
      <xdr:row>33</xdr:row>
      <xdr:rowOff>84666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26661</xdr:colOff>
      <xdr:row>13</xdr:row>
      <xdr:rowOff>243703</xdr:rowOff>
    </xdr:from>
    <xdr:to>
      <xdr:col>11</xdr:col>
      <xdr:colOff>14111</xdr:colOff>
      <xdr:row>23</xdr:row>
      <xdr:rowOff>225778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21165</xdr:colOff>
      <xdr:row>24</xdr:row>
      <xdr:rowOff>28222</xdr:rowOff>
    </xdr:from>
    <xdr:to>
      <xdr:col>4</xdr:col>
      <xdr:colOff>14111</xdr:colOff>
      <xdr:row>33</xdr:row>
      <xdr:rowOff>49389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0.10666</cdr:x>
      <cdr:y>0.03378</cdr:y>
    </cdr:from>
    <cdr:to>
      <cdr:x>1</cdr:x>
      <cdr:y>0.15369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0532" y="96574"/>
          <a:ext cx="5365058" cy="342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sz="1600" b="1" i="0" baseline="0">
              <a:effectLst/>
              <a:latin typeface="+mn-lt"/>
              <a:ea typeface="+mn-ea"/>
              <a:cs typeface="+mn-cs"/>
            </a:rPr>
            <a:t>LANCE Multi-Year Weekly Average Production Volume Trend</a:t>
          </a:r>
          <a:endParaRPr lang="en-US" sz="1600">
            <a:effectLst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10582</xdr:colOff>
      <xdr:row>13</xdr:row>
      <xdr:rowOff>219248</xdr:rowOff>
    </xdr:from>
    <xdr:to>
      <xdr:col>3</xdr:col>
      <xdr:colOff>1386416</xdr:colOff>
      <xdr:row>23</xdr:row>
      <xdr:rowOff>81138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35279</xdr:colOff>
      <xdr:row>23</xdr:row>
      <xdr:rowOff>285748</xdr:rowOff>
    </xdr:from>
    <xdr:to>
      <xdr:col>11</xdr:col>
      <xdr:colOff>70557</xdr:colOff>
      <xdr:row>33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7055</xdr:colOff>
      <xdr:row>13</xdr:row>
      <xdr:rowOff>204609</xdr:rowOff>
    </xdr:from>
    <xdr:to>
      <xdr:col>11</xdr:col>
      <xdr:colOff>52917</xdr:colOff>
      <xdr:row>23</xdr:row>
      <xdr:rowOff>67026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10585</xdr:colOff>
      <xdr:row>23</xdr:row>
      <xdr:rowOff>271639</xdr:rowOff>
    </xdr:from>
    <xdr:to>
      <xdr:col>3</xdr:col>
      <xdr:colOff>1382889</xdr:colOff>
      <xdr:row>32</xdr:row>
      <xdr:rowOff>254000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1072443</xdr:colOff>
      <xdr:row>29</xdr:row>
      <xdr:rowOff>42333</xdr:rowOff>
    </xdr:from>
    <xdr:to>
      <xdr:col>10</xdr:col>
      <xdr:colOff>2144885</xdr:colOff>
      <xdr:row>30</xdr:row>
      <xdr:rowOff>310444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2601221" y="8579555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0.19172</cdr:x>
      <cdr:y>0.01686</cdr:y>
    </cdr:from>
    <cdr:to>
      <cdr:x>0.86792</cdr:x>
      <cdr:y>0.14117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6830" y="47488"/>
          <a:ext cx="4009694" cy="350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600" b="1" i="0" baseline="0">
              <a:effectLst/>
              <a:latin typeface="+mn-lt"/>
              <a:ea typeface="+mn-ea"/>
              <a:cs typeface="+mn-cs"/>
            </a:rPr>
            <a:t>LANCE Multi-Year Volume Distribution Trend</a:t>
          </a:r>
          <a:endParaRPr lang="en-US" sz="1600">
            <a:effectLst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LANCE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ASF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ASF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10582</xdr:colOff>
      <xdr:row>13</xdr:row>
      <xdr:rowOff>191027</xdr:rowOff>
    </xdr:from>
    <xdr:to>
      <xdr:col>3</xdr:col>
      <xdr:colOff>1386416</xdr:colOff>
      <xdr:row>23</xdr:row>
      <xdr:rowOff>52917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24697</xdr:colOff>
      <xdr:row>24</xdr:row>
      <xdr:rowOff>17638</xdr:rowOff>
    </xdr:from>
    <xdr:to>
      <xdr:col>11</xdr:col>
      <xdr:colOff>70556</xdr:colOff>
      <xdr:row>33</xdr:row>
      <xdr:rowOff>141112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24694</xdr:colOff>
      <xdr:row>13</xdr:row>
      <xdr:rowOff>204609</xdr:rowOff>
    </xdr:from>
    <xdr:to>
      <xdr:col>11</xdr:col>
      <xdr:colOff>35278</xdr:colOff>
      <xdr:row>22</xdr:row>
      <xdr:rowOff>194026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21167</xdr:colOff>
      <xdr:row>23</xdr:row>
      <xdr:rowOff>310447</xdr:rowOff>
    </xdr:from>
    <xdr:to>
      <xdr:col>3</xdr:col>
      <xdr:colOff>1382888</xdr:colOff>
      <xdr:row>33</xdr:row>
      <xdr:rowOff>127001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889001</xdr:colOff>
      <xdr:row>29</xdr:row>
      <xdr:rowOff>56444</xdr:rowOff>
    </xdr:from>
    <xdr:to>
      <xdr:col>10</xdr:col>
      <xdr:colOff>1961443</xdr:colOff>
      <xdr:row>31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2248445" y="8537222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CDDIS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0.21876</cdr:x>
      <cdr:y>0.01731</cdr:y>
    </cdr:from>
    <cdr:to>
      <cdr:x>0.88413</cdr:x>
      <cdr:y>0.11521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88015" y="51904"/>
          <a:ext cx="3917606" cy="293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CDDIS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C7"/>
  <sheetViews>
    <sheetView tabSelected="1" zoomScale="110" zoomScaleNormal="110" workbookViewId="0">
      <selection activeCell="E3" sqref="E3"/>
    </sheetView>
  </sheetViews>
  <sheetFormatPr baseColWidth="10" defaultColWidth="11.5" defaultRowHeight="13" x14ac:dyDescent="0.15"/>
  <cols>
    <col min="1" max="1" width="122.6640625" customWidth="1"/>
    <col min="2" max="2" width="8.1640625" customWidth="1"/>
    <col min="3" max="3" width="0.1640625" hidden="1" customWidth="1"/>
  </cols>
  <sheetData>
    <row r="1" spans="1:1" ht="272" x14ac:dyDescent="0.15">
      <c r="A1" s="54" t="s">
        <v>215</v>
      </c>
    </row>
    <row r="2" spans="1:1" x14ac:dyDescent="0.15">
      <c r="A2" s="51"/>
    </row>
    <row r="3" spans="1:1" s="52" customFormat="1" ht="168.75" customHeight="1" x14ac:dyDescent="0.15">
      <c r="A3" s="56" t="s">
        <v>193</v>
      </c>
    </row>
    <row r="4" spans="1:1" ht="27" customHeight="1" x14ac:dyDescent="0.15">
      <c r="A4" s="55" t="s">
        <v>169</v>
      </c>
    </row>
    <row r="7" spans="1:1" x14ac:dyDescent="0.15">
      <c r="A7" s="53"/>
    </row>
  </sheetData>
  <pageMargins left="0.75" right="0.75" top="1" bottom="1" header="0.5" footer="0.5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K37"/>
  <sheetViews>
    <sheetView zoomScale="90" zoomScaleNormal="90" zoomScalePageLayoutView="90" workbookViewId="0">
      <selection activeCell="D11" sqref="D11"/>
    </sheetView>
  </sheetViews>
  <sheetFormatPr baseColWidth="10" defaultColWidth="11.5" defaultRowHeight="13" x14ac:dyDescent="0.15"/>
  <cols>
    <col min="1" max="1" width="7.1640625" customWidth="1"/>
    <col min="2" max="2" width="63.832031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42" t="str">
        <f>CONCATENATE("NSIDC Summary for ", Summary_data!X1)</f>
        <v>NSIDC Summary for FY 2021</v>
      </c>
      <c r="C1" s="342"/>
      <c r="D1" s="342"/>
      <c r="E1" s="342"/>
      <c r="F1" s="342"/>
      <c r="G1" s="342"/>
      <c r="H1" s="342"/>
      <c r="I1" s="342"/>
      <c r="J1" s="342"/>
      <c r="K1" s="342"/>
    </row>
    <row r="2" spans="1:11" ht="25" customHeight="1" thickBot="1" x14ac:dyDescent="0.2">
      <c r="B2" s="351" t="str">
        <f>Summary_data!Z2</f>
        <v>FY2021 Metrics (Oct 2020 to Sep 2021)</v>
      </c>
      <c r="C2" s="352"/>
      <c r="D2" s="353"/>
      <c r="F2" s="356" t="str">
        <f>CONCATENATE(data!$I$2, " Distribution and User Trends ", Summary_data!W1)</f>
        <v>NSIDC Distribution and User Trends (Oct 2020 to Sep 2021)</v>
      </c>
      <c r="G2" s="357"/>
      <c r="H2" s="357"/>
      <c r="I2" s="358"/>
      <c r="J2" s="358"/>
      <c r="K2" s="359"/>
    </row>
    <row r="3" spans="1:11" ht="18" customHeight="1" thickBot="1" x14ac:dyDescent="0.2">
      <c r="B3" s="40" t="s">
        <v>64</v>
      </c>
      <c r="C3" s="40" t="s">
        <v>63</v>
      </c>
      <c r="D3" s="40" t="str">
        <f>Summary_data!$C$11</f>
        <v>NSIDC</v>
      </c>
      <c r="F3" s="332" t="s">
        <v>64</v>
      </c>
      <c r="G3" s="41" t="s">
        <v>11</v>
      </c>
      <c r="H3" s="42"/>
      <c r="I3" s="43" t="s">
        <v>25</v>
      </c>
      <c r="J3" s="43" t="s">
        <v>32</v>
      </c>
      <c r="K3" s="44" t="s">
        <v>26</v>
      </c>
    </row>
    <row r="4" spans="1:11" ht="18" customHeight="1" thickBot="1" x14ac:dyDescent="0.2">
      <c r="B4" s="324" t="s">
        <v>150</v>
      </c>
      <c r="C4" s="58">
        <f>Summary_data!AA13</f>
        <v>14300</v>
      </c>
      <c r="D4" s="60">
        <f>Summary_data!$D$11</f>
        <v>1098</v>
      </c>
      <c r="F4" s="333"/>
      <c r="G4" s="45" t="str">
        <f>Summary_data!AE2</f>
        <v>FY2021</v>
      </c>
      <c r="H4" s="46"/>
      <c r="I4" s="47" t="str">
        <f>Summary_data!AF2</f>
        <v>FY2020</v>
      </c>
      <c r="J4" s="46" t="s">
        <v>27</v>
      </c>
      <c r="K4" s="48" t="s">
        <v>28</v>
      </c>
    </row>
    <row r="5" spans="1:11" ht="23" customHeight="1" thickBot="1" x14ac:dyDescent="0.2">
      <c r="B5" s="326" t="s">
        <v>195</v>
      </c>
      <c r="C5" s="58" t="str">
        <f>Summary_data!AA14</f>
        <v>4.73 M</v>
      </c>
      <c r="D5" s="61">
        <f>Summary_data!I$11</f>
        <v>391518</v>
      </c>
      <c r="F5" s="339" t="s">
        <v>68</v>
      </c>
      <c r="G5" s="374">
        <f>data!$I$15</f>
        <v>64.506292000000002</v>
      </c>
      <c r="H5" s="354"/>
      <c r="I5" s="346">
        <f>(data!$I$15-data!$I$17)/data!$I$17</f>
        <v>-0.20814691922474698</v>
      </c>
      <c r="J5" s="355">
        <f>data!$I$16</f>
        <v>5.3755243333333338</v>
      </c>
      <c r="K5" s="349"/>
    </row>
    <row r="6" spans="1:11" ht="18" customHeight="1" thickBot="1" x14ac:dyDescent="0.2">
      <c r="B6" s="326" t="s">
        <v>197</v>
      </c>
      <c r="C6" s="58" t="str">
        <f>Summary_data!AA15</f>
        <v>4.4 M</v>
      </c>
      <c r="D6" s="61">
        <f>Summary_data!K$11</f>
        <v>669496</v>
      </c>
      <c r="F6" s="338"/>
      <c r="G6" s="375"/>
      <c r="H6" s="334"/>
      <c r="I6" s="347"/>
      <c r="J6" s="350"/>
      <c r="K6" s="343"/>
    </row>
    <row r="7" spans="1:11" ht="18" customHeight="1" thickBot="1" x14ac:dyDescent="0.2">
      <c r="B7" s="326" t="s">
        <v>0</v>
      </c>
      <c r="C7" s="63" t="str">
        <f>Summary_data!AA16</f>
        <v>53.9 TB/day</v>
      </c>
      <c r="D7" s="59" t="str">
        <f>CONCATENATE(FIXED(1024*Summary_data!$N$11,1), " GB/day")</f>
        <v>3,203.6 GB/day</v>
      </c>
      <c r="F7" s="337" t="s">
        <v>62</v>
      </c>
      <c r="G7" s="371">
        <f>data!$I$67</f>
        <v>1662.7633851516339</v>
      </c>
      <c r="H7" s="334"/>
      <c r="I7" s="346">
        <f>(data!$I$67-data!$I$69)/data!$I$69</f>
        <v>0.19478507755541205</v>
      </c>
      <c r="J7" s="350">
        <f>data!$I$68</f>
        <v>138.56361542930281</v>
      </c>
      <c r="K7" s="343"/>
    </row>
    <row r="8" spans="1:11" ht="18" customHeight="1" thickBot="1" x14ac:dyDescent="0.2">
      <c r="B8" s="326" t="s">
        <v>200</v>
      </c>
      <c r="C8" s="63" t="str">
        <f>Summary_data!AA17</f>
        <v>59.24 PB</v>
      </c>
      <c r="D8" s="62" t="str">
        <f>CONCATENATE(FIXED(Summary_data!$O$11,1), " TB")</f>
        <v>2,348.3 TB</v>
      </c>
      <c r="F8" s="338"/>
      <c r="G8" s="372"/>
      <c r="H8" s="334"/>
      <c r="I8" s="347"/>
      <c r="J8" s="350"/>
      <c r="K8" s="343"/>
    </row>
    <row r="9" spans="1:11" ht="18" customHeight="1" thickBot="1" x14ac:dyDescent="0.2">
      <c r="B9" s="326" t="s">
        <v>202</v>
      </c>
      <c r="C9" s="58" t="str">
        <f>Summary_data!AA18</f>
        <v>15.77 PB</v>
      </c>
      <c r="D9" s="62" t="str">
        <f>CONCATENATE(FIXED(Summary_data!$U$11,1), " TB")</f>
        <v>260.3 TB</v>
      </c>
      <c r="F9" s="337" t="s">
        <v>58</v>
      </c>
      <c r="G9" s="344">
        <f>data!$I$120</f>
        <v>22937</v>
      </c>
      <c r="H9" s="334"/>
      <c r="I9" s="346">
        <f>(data!$I$120-data!$I$121)/data!$I$121</f>
        <v>0.55832597323187716</v>
      </c>
      <c r="J9" s="348">
        <f>data!$I$119</f>
        <v>1911.4166666666667</v>
      </c>
      <c r="K9" s="343"/>
    </row>
    <row r="10" spans="1:11" ht="18" customHeight="1" thickBot="1" x14ac:dyDescent="0.2">
      <c r="B10" s="326" t="s">
        <v>204</v>
      </c>
      <c r="C10" s="58" t="str">
        <f>Summary_data!AA19</f>
        <v>1,983.87 M</v>
      </c>
      <c r="D10" s="61" t="str">
        <f>CONCATENATE(FIXED(Summary_data!$R$11,1), " M")</f>
        <v>64.5 M</v>
      </c>
      <c r="F10" s="338"/>
      <c r="G10" s="373"/>
      <c r="H10" s="334"/>
      <c r="I10" s="347"/>
      <c r="J10" s="348"/>
      <c r="K10" s="343"/>
    </row>
    <row r="11" spans="1:11" ht="18" customHeight="1" thickBot="1" x14ac:dyDescent="0.2">
      <c r="B11" s="326" t="s">
        <v>206</v>
      </c>
      <c r="C11" s="58" t="str">
        <f>Summary_data!AA20</f>
        <v>19.87 M</v>
      </c>
      <c r="D11" s="61" t="str">
        <f>CONCATENATE(FIXED(Summary_data!$V$11,3), " M")</f>
        <v>0.003 M</v>
      </c>
      <c r="E11" s="5"/>
      <c r="F11" s="337" t="s">
        <v>138</v>
      </c>
      <c r="G11" s="344">
        <f>data!$I$223</f>
        <v>377853</v>
      </c>
      <c r="H11" s="334"/>
      <c r="I11" s="347">
        <f>(data!$I$223-data!$I$224)/data!$I$224</f>
        <v>-0.11312730166106874</v>
      </c>
      <c r="J11" s="348">
        <f>data!$I$222</f>
        <v>37357.333333333336</v>
      </c>
      <c r="K11" s="343"/>
    </row>
    <row r="12" spans="1:11" ht="18" customHeight="1" thickBot="1" x14ac:dyDescent="0.2">
      <c r="B12" s="326" t="s">
        <v>208</v>
      </c>
      <c r="C12" s="58" t="str">
        <f>Summary_data!AA21</f>
        <v>171 TB/day</v>
      </c>
      <c r="D12" s="61" t="str">
        <f>CONCATENATE(FIXED(1024*Summary_data!$T$11,1), " GB/day")</f>
        <v>4,664.8 GB/day</v>
      </c>
      <c r="F12" s="361"/>
      <c r="G12" s="376"/>
      <c r="H12" s="363"/>
      <c r="I12" s="364"/>
      <c r="J12" s="365"/>
      <c r="K12" s="360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F9:F10"/>
    <mergeCell ref="G9:G10"/>
    <mergeCell ref="H9:H10"/>
    <mergeCell ref="I9:I10"/>
    <mergeCell ref="J9:J10"/>
    <mergeCell ref="K9:K10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{850A6733-3AB0-4346-9ABC-67A6745231DA}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{4BFDCF8C-F2A6-4140-881B-4C3DED9BBEF1}</x14:id>
        </ext>
      </extLs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{47A1CA8B-B5CF-E542-8745-9E68A5F14D75}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248">
      <iconSet iconSet="3Arrows">
        <cfvo type="percent" val="0"/>
        <cfvo type="num" val="0"/>
        <cfvo type="num" val="0.01"/>
      </iconSet>
    </cfRule>
    <cfRule type="iconSet" priority="249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25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55">
      <iconSet>
        <cfvo type="percent" val="0"/>
        <cfvo type="percent" val="33"/>
        <cfvo type="percent" val="67"/>
      </iconSet>
    </cfRule>
    <cfRule type="iconSet" priority="256">
      <iconSet iconSet="4Arrows">
        <cfvo type="percent" val="0"/>
        <cfvo type="percent" val="25"/>
        <cfvo type="percent" val="50"/>
        <cfvo type="percentile" val="75"/>
      </iconSet>
    </cfRule>
    <cfRule type="iconSet" priority="25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58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26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0A6733-3AB0-4346-9ABC-67A6745231DA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4BFDCF8C-F2A6-4140-881B-4C3DED9BBEF1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47A1CA8B-B5CF-E542-8745-9E68A5F14D75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900-00002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data!I106:I117</xm:f>
              <xm:sqref>K9</xm:sqref>
            </x14:sparkline>
          </x14:sparklines>
        </x14:sparklineGroup>
        <x14:sparklineGroup manualMax="0" manualMin="0" displayEmptyCellsAs="gap" high="1" xr2:uid="{00000000-0003-0000-0900-00002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data!I3:I14</xm:f>
              <xm:sqref>K5</xm:sqref>
            </x14:sparkline>
          </x14:sparklines>
        </x14:sparklineGroup>
        <x14:sparklineGroup manualMax="0" manualMin="0" displayEmptyCellsAs="gap" high="1" xr2:uid="{00000000-0003-0000-0900-00002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data!I55:I66</xm:f>
              <xm:sqref>K7</xm:sqref>
            </x14:sparkline>
          </x14:sparklines>
        </x14:sparklineGroup>
        <x14:sparklineGroup manualMax="0" manualMin="0" displayEmptyCellsAs="gap" high="1" xr2:uid="{00000000-0003-0000-0900-00002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data!I209:I220</xm:f>
              <xm:sqref>K11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K37"/>
  <sheetViews>
    <sheetView zoomScale="90" zoomScaleNormal="90" zoomScalePageLayoutView="90" workbookViewId="0">
      <selection activeCell="D12" sqref="D12"/>
    </sheetView>
  </sheetViews>
  <sheetFormatPr baseColWidth="10" defaultColWidth="11.5" defaultRowHeight="13" x14ac:dyDescent="0.15"/>
  <cols>
    <col min="1" max="1" width="7.1640625" customWidth="1"/>
    <col min="2" max="2" width="64.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42" t="str">
        <f>CONCATENATE("ORNL Summary for ", Summary_data!X1)</f>
        <v>ORNL Summary for FY 2021</v>
      </c>
      <c r="C1" s="342"/>
      <c r="D1" s="342"/>
      <c r="E1" s="342"/>
      <c r="F1" s="342"/>
      <c r="G1" s="342"/>
      <c r="H1" s="342"/>
      <c r="I1" s="342"/>
      <c r="J1" s="342"/>
      <c r="K1" s="342"/>
    </row>
    <row r="2" spans="1:11" ht="25" customHeight="1" thickBot="1" x14ac:dyDescent="0.2">
      <c r="B2" s="351" t="str">
        <f>Summary_data!Z2</f>
        <v>FY2021 Metrics (Oct 2020 to Sep 2021)</v>
      </c>
      <c r="C2" s="352"/>
      <c r="D2" s="353"/>
      <c r="F2" s="356" t="str">
        <f>CONCATENATE(data!$K$2, " Distribution and User Trends ", Summary_data!W1)</f>
        <v>ORNL Distribution and User Trends (Oct 2020 to Sep 2021)</v>
      </c>
      <c r="G2" s="357"/>
      <c r="H2" s="357"/>
      <c r="I2" s="358"/>
      <c r="J2" s="358"/>
      <c r="K2" s="359"/>
    </row>
    <row r="3" spans="1:11" ht="18" customHeight="1" thickBot="1" x14ac:dyDescent="0.2">
      <c r="B3" s="40" t="s">
        <v>64</v>
      </c>
      <c r="C3" s="40" t="s">
        <v>63</v>
      </c>
      <c r="D3" s="40" t="str">
        <f>Summary_data!$C$13</f>
        <v>ORNL</v>
      </c>
      <c r="F3" s="332" t="s">
        <v>64</v>
      </c>
      <c r="G3" s="41" t="s">
        <v>11</v>
      </c>
      <c r="H3" s="42"/>
      <c r="I3" s="43" t="s">
        <v>25</v>
      </c>
      <c r="J3" s="43" t="s">
        <v>32</v>
      </c>
      <c r="K3" s="44" t="s">
        <v>26</v>
      </c>
    </row>
    <row r="4" spans="1:11" ht="18" customHeight="1" thickBot="1" x14ac:dyDescent="0.2">
      <c r="B4" s="324" t="s">
        <v>150</v>
      </c>
      <c r="C4" s="58">
        <f>Summary_data!AA13</f>
        <v>14300</v>
      </c>
      <c r="D4" s="60">
        <f>Summary_data!$D$13</f>
        <v>2575</v>
      </c>
      <c r="F4" s="333"/>
      <c r="G4" s="45" t="str">
        <f>Summary_data!AE2</f>
        <v>FY2021</v>
      </c>
      <c r="H4" s="46"/>
      <c r="I4" s="47" t="str">
        <f>Summary_data!AF2</f>
        <v>FY2020</v>
      </c>
      <c r="J4" s="46" t="s">
        <v>27</v>
      </c>
      <c r="K4" s="48" t="s">
        <v>28</v>
      </c>
    </row>
    <row r="5" spans="1:11" ht="23" customHeight="1" thickBot="1" x14ac:dyDescent="0.2">
      <c r="B5" s="326" t="s">
        <v>195</v>
      </c>
      <c r="C5" s="58" t="str">
        <f>Summary_data!AA14</f>
        <v>4.73 M</v>
      </c>
      <c r="D5" s="61">
        <f>Summary_data!I$13</f>
        <v>81639</v>
      </c>
      <c r="F5" s="339" t="s">
        <v>68</v>
      </c>
      <c r="G5" s="374">
        <f>data!$K$15</f>
        <v>68.714117999999999</v>
      </c>
      <c r="H5" s="354"/>
      <c r="I5" s="346">
        <f>(data!$K$15-data!$K$17)/data!$K$17</f>
        <v>1.1630607688582744</v>
      </c>
      <c r="J5" s="355">
        <f>data!$K$16</f>
        <v>5.7261765000000002</v>
      </c>
      <c r="K5" s="349"/>
    </row>
    <row r="6" spans="1:11" ht="18" customHeight="1" thickBot="1" x14ac:dyDescent="0.2">
      <c r="B6" s="326" t="s">
        <v>197</v>
      </c>
      <c r="C6" s="58" t="str">
        <f>Summary_data!AA15</f>
        <v>4.4 M</v>
      </c>
      <c r="D6" s="61">
        <f>Summary_data!K$13</f>
        <v>68344</v>
      </c>
      <c r="F6" s="338"/>
      <c r="G6" s="375"/>
      <c r="H6" s="334"/>
      <c r="I6" s="347"/>
      <c r="J6" s="350"/>
      <c r="K6" s="343"/>
    </row>
    <row r="7" spans="1:11" ht="18" customHeight="1" thickBot="1" x14ac:dyDescent="0.2">
      <c r="B7" s="326" t="s">
        <v>0</v>
      </c>
      <c r="C7" s="63" t="str">
        <f>Summary_data!AA16</f>
        <v>53.9 TB/day</v>
      </c>
      <c r="D7" s="59" t="str">
        <f>CONCATENATE(FIXED(1024*Summary_data!$N$13,1), " GB/day")</f>
        <v>515.6 GB/day</v>
      </c>
      <c r="F7" s="337" t="s">
        <v>62</v>
      </c>
      <c r="G7" s="371">
        <f>data!$K$67</f>
        <v>583.80616283701715</v>
      </c>
      <c r="H7" s="334"/>
      <c r="I7" s="346">
        <f>(data!$K$67-data!$K$69)/data!$K$69</f>
        <v>1.118070330905349</v>
      </c>
      <c r="J7" s="350">
        <f>data!$K$68</f>
        <v>48.650513569751432</v>
      </c>
      <c r="K7" s="343"/>
    </row>
    <row r="8" spans="1:11" ht="18" customHeight="1" thickBot="1" x14ac:dyDescent="0.2">
      <c r="B8" s="326" t="s">
        <v>200</v>
      </c>
      <c r="C8" s="63" t="str">
        <f>Summary_data!AA17</f>
        <v>59.24 PB</v>
      </c>
      <c r="D8" s="62" t="str">
        <f>CONCATENATE(FIXED(Summary_data!$O$13,1), " TB")</f>
        <v>665.5 TB</v>
      </c>
      <c r="F8" s="338"/>
      <c r="G8" s="372"/>
      <c r="H8" s="334"/>
      <c r="I8" s="347"/>
      <c r="J8" s="350"/>
      <c r="K8" s="343"/>
    </row>
    <row r="9" spans="1:11" ht="18" customHeight="1" thickBot="1" x14ac:dyDescent="0.2">
      <c r="B9" s="326" t="s">
        <v>202</v>
      </c>
      <c r="C9" s="58" t="str">
        <f>Summary_data!AA18</f>
        <v>15.77 PB</v>
      </c>
      <c r="D9" s="62" t="str">
        <f>CONCATENATE(FIXED(Summary_data!$U$13,1), " TB")</f>
        <v>29.7 TB</v>
      </c>
      <c r="F9" s="337" t="s">
        <v>58</v>
      </c>
      <c r="G9" s="344">
        <f>data!$K$120</f>
        <v>35748</v>
      </c>
      <c r="H9" s="334"/>
      <c r="I9" s="346">
        <f>(data!$K$120-data!$K$121)/data!$K$121</f>
        <v>0.37868795557098228</v>
      </c>
      <c r="J9" s="348">
        <f>data!$K$119</f>
        <v>2979</v>
      </c>
      <c r="K9" s="343"/>
    </row>
    <row r="10" spans="1:11" ht="18" customHeight="1" thickBot="1" x14ac:dyDescent="0.2">
      <c r="B10" s="326" t="s">
        <v>204</v>
      </c>
      <c r="C10" s="58" t="str">
        <f>Summary_data!AA19</f>
        <v>1,983.87 M</v>
      </c>
      <c r="D10" s="61" t="str">
        <f>CONCATENATE(FIXED(Summary_data!$R$13,1), " M")</f>
        <v>68.7 M</v>
      </c>
      <c r="F10" s="338"/>
      <c r="G10" s="373"/>
      <c r="H10" s="334"/>
      <c r="I10" s="347"/>
      <c r="J10" s="348"/>
      <c r="K10" s="343"/>
    </row>
    <row r="11" spans="1:11" ht="18" customHeight="1" thickBot="1" x14ac:dyDescent="0.2">
      <c r="B11" s="326" t="s">
        <v>206</v>
      </c>
      <c r="C11" s="58" t="str">
        <f>Summary_data!AA20</f>
        <v>19.87 M</v>
      </c>
      <c r="D11" s="61" t="str">
        <f>CONCATENATE(FIXED(Summary_data!$V$13,2), " M")</f>
        <v>0.04 M</v>
      </c>
      <c r="E11" s="5"/>
      <c r="F11" s="337" t="s">
        <v>138</v>
      </c>
      <c r="G11" s="344">
        <f>data!$K$223</f>
        <v>54403</v>
      </c>
      <c r="H11" s="334"/>
      <c r="I11" s="347">
        <f>(data!$K$223-data!$K$224)/data!$K$224</f>
        <v>-6.4082714010459674E-2</v>
      </c>
      <c r="J11" s="348">
        <f>data!$K$222</f>
        <v>5103.583333333333</v>
      </c>
      <c r="K11" s="343"/>
    </row>
    <row r="12" spans="1:11" ht="18" customHeight="1" thickBot="1" x14ac:dyDescent="0.2">
      <c r="B12" s="326" t="s">
        <v>208</v>
      </c>
      <c r="C12" s="58" t="str">
        <f>Summary_data!AA21</f>
        <v>171 TB/day</v>
      </c>
      <c r="D12" s="61" t="str">
        <f>CONCATENATE(FIXED(1024*Summary_data!$T$13,1), " GB/day")</f>
        <v>1,637.9 GB/day</v>
      </c>
      <c r="F12" s="361"/>
      <c r="G12" s="376"/>
      <c r="H12" s="363"/>
      <c r="I12" s="364"/>
      <c r="J12" s="365"/>
      <c r="K12" s="360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F9:F10"/>
    <mergeCell ref="G9:G10"/>
    <mergeCell ref="H9:H10"/>
    <mergeCell ref="I9:I10"/>
    <mergeCell ref="J9:J10"/>
    <mergeCell ref="K9:K10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{78E45AA7-D7B0-BD47-A9AD-76B6AB9DA130}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{E8679BD3-4BC0-864E-9970-FC6444C28B48}</x14:id>
        </ext>
      </extLs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{65F80109-D683-194F-B4A4-DEAAF2DB0194}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270">
      <iconSet iconSet="3Arrows">
        <cfvo type="percent" val="0"/>
        <cfvo type="num" val="0"/>
        <cfvo type="num" val="0.01"/>
      </iconSet>
    </cfRule>
    <cfRule type="iconSet" priority="271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27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77">
      <iconSet>
        <cfvo type="percent" val="0"/>
        <cfvo type="percent" val="33"/>
        <cfvo type="percent" val="67"/>
      </iconSet>
    </cfRule>
    <cfRule type="iconSet" priority="278">
      <iconSet iconSet="4Arrows">
        <cfvo type="percent" val="0"/>
        <cfvo type="percent" val="25"/>
        <cfvo type="percent" val="50"/>
        <cfvo type="percentile" val="75"/>
      </iconSet>
    </cfRule>
    <cfRule type="iconSet" priority="27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80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29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E45AA7-D7B0-BD47-A9AD-76B6AB9DA130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E8679BD3-4BC0-864E-9970-FC6444C28B48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65F80109-D683-194F-B4A4-DEAAF2DB0194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A00-00002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data!K55:K66</xm:f>
              <xm:sqref>K7</xm:sqref>
            </x14:sparkline>
          </x14:sparklines>
        </x14:sparklineGroup>
        <x14:sparklineGroup manualMax="0" manualMin="0" displayEmptyCellsAs="gap" high="1" xr2:uid="{00000000-0003-0000-0A00-00002A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data!K3:K14</xm:f>
              <xm:sqref>K5</xm:sqref>
            </x14:sparkline>
          </x14:sparklines>
        </x14:sparklineGroup>
        <x14:sparklineGroup manualMax="0" manualMin="0" displayEmptyCellsAs="gap" high="1" xr2:uid="{00000000-0003-0000-0A00-00002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data!K106:K117</xm:f>
              <xm:sqref>K9</xm:sqref>
            </x14:sparkline>
          </x14:sparklines>
        </x14:sparklineGroup>
        <x14:sparklineGroup manualMax="0" manualMin="0" displayEmptyCellsAs="gap" high="1" xr2:uid="{00000000-0003-0000-0A00-00002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data!K209:K220</xm:f>
              <xm:sqref>K11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5"/>
  <sheetViews>
    <sheetView zoomScale="90" zoomScaleNormal="90" zoomScalePageLayoutView="90" workbookViewId="0">
      <selection activeCell="D12" sqref="D12"/>
    </sheetView>
  </sheetViews>
  <sheetFormatPr baseColWidth="10" defaultColWidth="11.5" defaultRowHeight="13" x14ac:dyDescent="0.15"/>
  <cols>
    <col min="1" max="1" width="7.1640625" customWidth="1"/>
    <col min="2" max="2" width="63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42" t="str">
        <f>CONCATENATE("OB.DAAC Summary for ", Summary_data!X1)</f>
        <v>OB.DAAC Summary for FY 2021</v>
      </c>
      <c r="C1" s="342"/>
      <c r="D1" s="342"/>
      <c r="E1" s="342"/>
      <c r="F1" s="342"/>
      <c r="G1" s="342"/>
      <c r="H1" s="342"/>
      <c r="I1" s="342"/>
      <c r="J1" s="342"/>
      <c r="K1" s="342"/>
    </row>
    <row r="2" spans="1:11" ht="25" customHeight="1" thickBot="1" x14ac:dyDescent="0.2">
      <c r="B2" s="351" t="str">
        <f>Summary_data!Z2</f>
        <v>FY2021 Metrics (Oct 2020 to Sep 2021)</v>
      </c>
      <c r="C2" s="352"/>
      <c r="D2" s="353"/>
      <c r="F2" s="356" t="str">
        <f>CONCATENATE(data!$J$2, " Distribution and User Trends ", Summary_data!W1)</f>
        <v>OB.DAAC Distribution and User Trends (Oct 2020 to Sep 2021)</v>
      </c>
      <c r="G2" s="357"/>
      <c r="H2" s="357"/>
      <c r="I2" s="358"/>
      <c r="J2" s="358"/>
      <c r="K2" s="359"/>
    </row>
    <row r="3" spans="1:11" ht="18" customHeight="1" thickBot="1" x14ac:dyDescent="0.2">
      <c r="B3" s="40" t="s">
        <v>64</v>
      </c>
      <c r="C3" s="40" t="s">
        <v>63</v>
      </c>
      <c r="D3" s="40" t="str">
        <f>Summary_data!$C$12</f>
        <v>OB.DAAC</v>
      </c>
      <c r="F3" s="332" t="s">
        <v>64</v>
      </c>
      <c r="G3" s="41" t="s">
        <v>11</v>
      </c>
      <c r="H3" s="42"/>
      <c r="I3" s="43" t="s">
        <v>25</v>
      </c>
      <c r="J3" s="43" t="s">
        <v>32</v>
      </c>
      <c r="K3" s="44" t="s">
        <v>26</v>
      </c>
    </row>
    <row r="4" spans="1:11" ht="18" customHeight="1" thickBot="1" x14ac:dyDescent="0.2">
      <c r="B4" s="324" t="s">
        <v>150</v>
      </c>
      <c r="C4" s="58">
        <f>Summary_data!AA13</f>
        <v>14300</v>
      </c>
      <c r="D4" s="60">
        <f>Summary_data!$D$12</f>
        <v>385</v>
      </c>
      <c r="F4" s="333"/>
      <c r="G4" s="45" t="str">
        <f>Summary_data!AE2</f>
        <v>FY2021</v>
      </c>
      <c r="H4" s="46"/>
      <c r="I4" s="47" t="str">
        <f>Summary_data!AF2</f>
        <v>FY2020</v>
      </c>
      <c r="J4" s="46" t="s">
        <v>27</v>
      </c>
      <c r="K4" s="48" t="s">
        <v>28</v>
      </c>
    </row>
    <row r="5" spans="1:11" ht="22" customHeight="1" thickBot="1" x14ac:dyDescent="0.2">
      <c r="B5" s="326" t="s">
        <v>195</v>
      </c>
      <c r="C5" s="58" t="str">
        <f>Summary_data!AA14</f>
        <v>4.73 M</v>
      </c>
      <c r="D5" s="61">
        <f>Summary_data!I$12</f>
        <v>120253</v>
      </c>
      <c r="F5" s="339" t="s">
        <v>68</v>
      </c>
      <c r="G5" s="374">
        <f>data!$J$15</f>
        <v>50.985855000000001</v>
      </c>
      <c r="H5" s="354"/>
      <c r="I5" s="346">
        <f>(data!$J$15-data!$J$17)/data!$J$17</f>
        <v>-9.6923837815731842E-2</v>
      </c>
      <c r="J5" s="355">
        <f>data!$J$16</f>
        <v>4.2488212499999998</v>
      </c>
      <c r="K5" s="349"/>
    </row>
    <row r="6" spans="1:11" ht="18" customHeight="1" thickBot="1" x14ac:dyDescent="0.2">
      <c r="B6" s="326" t="s">
        <v>197</v>
      </c>
      <c r="C6" s="58" t="str">
        <f>Summary_data!AA15</f>
        <v>4.4 M</v>
      </c>
      <c r="D6" s="61">
        <f>Summary_data!K12</f>
        <v>133631</v>
      </c>
      <c r="F6" s="338"/>
      <c r="G6" s="375"/>
      <c r="H6" s="334"/>
      <c r="I6" s="347"/>
      <c r="J6" s="350"/>
      <c r="K6" s="343"/>
    </row>
    <row r="7" spans="1:11" ht="20" thickBot="1" x14ac:dyDescent="0.2">
      <c r="B7" s="326" t="s">
        <v>0</v>
      </c>
      <c r="C7" s="63" t="str">
        <f>Summary_data!AA16</f>
        <v>53.9 TB/day</v>
      </c>
      <c r="D7" s="61" t="str">
        <f>CONCATENATE(FIXED(1024*Summary_data!$N$12,1), " GB/day")</f>
        <v>1,766.8 GB/day</v>
      </c>
      <c r="F7" s="337" t="s">
        <v>62</v>
      </c>
      <c r="G7" s="371">
        <f>data!$J$67</f>
        <v>2072.4764548165576</v>
      </c>
      <c r="H7" s="334"/>
      <c r="I7" s="346">
        <f>(data!$J$67-data!$J$69)/data!$J$69</f>
        <v>-8.2201881595212134E-2</v>
      </c>
      <c r="J7" s="350">
        <f>data!$J$68</f>
        <v>172.70637123471315</v>
      </c>
      <c r="K7" s="343"/>
    </row>
    <row r="8" spans="1:11" ht="18" customHeight="1" thickBot="1" x14ac:dyDescent="0.2">
      <c r="B8" s="326" t="s">
        <v>200</v>
      </c>
      <c r="C8" s="63" t="str">
        <f>Summary_data!AA17</f>
        <v>59.24 PB</v>
      </c>
      <c r="D8" s="61" t="str">
        <f>CONCATENATE(FIXED(Summary_data!$O$12,1), " TB")</f>
        <v>4,200.9 TB</v>
      </c>
      <c r="F8" s="338"/>
      <c r="G8" s="372"/>
      <c r="H8" s="334"/>
      <c r="I8" s="347"/>
      <c r="J8" s="350"/>
      <c r="K8" s="343"/>
    </row>
    <row r="9" spans="1:11" ht="18" customHeight="1" thickBot="1" x14ac:dyDescent="0.2">
      <c r="B9" s="326" t="s">
        <v>202</v>
      </c>
      <c r="C9" s="58" t="str">
        <f>Summary_data!AA18</f>
        <v>15.77 PB</v>
      </c>
      <c r="D9" s="61"/>
      <c r="F9" s="337" t="s">
        <v>58</v>
      </c>
      <c r="G9" s="344">
        <f>data!$J$120</f>
        <v>39997</v>
      </c>
      <c r="H9" s="334"/>
      <c r="I9" s="346">
        <f>(data!$J$120-data!$J$121)/data!$J$121</f>
        <v>0.51400560224089631</v>
      </c>
      <c r="J9" s="348">
        <f>data!$J$119</f>
        <v>3333.0833333333335</v>
      </c>
      <c r="K9" s="343"/>
    </row>
    <row r="10" spans="1:11" ht="18" customHeight="1" thickBot="1" x14ac:dyDescent="0.2">
      <c r="B10" s="326" t="s">
        <v>204</v>
      </c>
      <c r="C10" s="58" t="str">
        <f>Summary_data!AA19</f>
        <v>1,983.87 M</v>
      </c>
      <c r="D10" s="61" t="str">
        <f>CONCATENATE(FIXED(Summary_data!$R$12,1), " M")</f>
        <v>51.0 M</v>
      </c>
      <c r="F10" s="338"/>
      <c r="G10" s="373"/>
      <c r="H10" s="334"/>
      <c r="I10" s="347"/>
      <c r="J10" s="348"/>
      <c r="K10" s="343"/>
    </row>
    <row r="11" spans="1:11" ht="18" customHeight="1" thickBot="1" x14ac:dyDescent="0.2">
      <c r="B11" s="326" t="s">
        <v>206</v>
      </c>
      <c r="C11" s="58" t="str">
        <f>Summary_data!AA20</f>
        <v>19.87 M</v>
      </c>
      <c r="D11" s="61"/>
      <c r="E11" s="5"/>
      <c r="F11" s="337" t="s">
        <v>67</v>
      </c>
      <c r="G11" s="380">
        <f>data!J223</f>
        <v>87690</v>
      </c>
      <c r="H11" s="382"/>
      <c r="I11" s="347" t="s">
        <v>166</v>
      </c>
      <c r="J11" s="348">
        <f>data!J222</f>
        <v>9025.25</v>
      </c>
      <c r="K11" s="378"/>
    </row>
    <row r="12" spans="1:11" ht="18" customHeight="1" thickBot="1" x14ac:dyDescent="0.2">
      <c r="B12" s="326" t="s">
        <v>208</v>
      </c>
      <c r="C12" s="58" t="str">
        <f>Summary_data!AA21</f>
        <v>171 TB/day</v>
      </c>
      <c r="D12" s="61" t="str">
        <f>CONCATENATE(FIXED(1024*Summary_data!$T$12,1), " GB/day")</f>
        <v>5,814.3 GB/day</v>
      </c>
      <c r="F12" s="361"/>
      <c r="G12" s="381"/>
      <c r="H12" s="383"/>
      <c r="I12" s="377"/>
      <c r="J12" s="365"/>
      <c r="K12" s="379"/>
    </row>
    <row r="13" spans="1:11" ht="18" customHeight="1" x14ac:dyDescent="0.15"/>
    <row r="14" spans="1:11" ht="25" customHeight="1" x14ac:dyDescent="0.15"/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</sheetData>
  <dataConsolidate/>
  <mergeCells count="28"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7 K5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{DFB4E3C7-C8D6-1B4C-B5B0-9A86C4FA35E4}</x14:id>
        </ext>
      </extLst>
    </cfRule>
  </conditionalFormatting>
  <conditionalFormatting sqref="K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{9854F9D8-D821-9945-A413-6E3862CED3F9}</x14:id>
        </ext>
      </extLst>
    </cfRule>
  </conditionalFormatting>
  <conditionalFormatting sqref="K11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{EE4481CB-9800-7B40-9A49-26DB090C9FF4}</x14:id>
        </ext>
      </extLst>
    </cfRule>
  </conditionalFormatting>
  <conditionalFormatting sqref="I11">
    <cfRule type="iconSet" priority="9">
      <iconSet iconSet="3Arrows">
        <cfvo type="percent" val="0"/>
        <cfvo type="num" val="-0.01"/>
        <cfvo type="num" val="0.0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B4E3C7-C8D6-1B4C-B5B0-9A86C4FA35E4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9854F9D8-D821-9945-A413-6E3862CED3F9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EE4481CB-9800-7B40-9A49-26DB090C9FF4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B00-00002F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data!J55:J66</xm:f>
              <xm:sqref>K7</xm:sqref>
            </x14:sparkline>
          </x14:sparklines>
        </x14:sparklineGroup>
        <x14:sparklineGroup manualMax="0" manualMin="0" displayEmptyCellsAs="gap" high="1" xr2:uid="{00000000-0003-0000-0B00-00002E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data!J3:J14</xm:f>
              <xm:sqref>K5</xm:sqref>
            </x14:sparkline>
          </x14:sparklines>
        </x14:sparklineGroup>
        <x14:sparklineGroup manualMax="0" manualMin="0" displayEmptyCellsAs="gap" high="1" xr2:uid="{00000000-0003-0000-0B00-00002D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data!J106:J117</xm:f>
              <xm:sqref>K9</xm:sqref>
            </x14:sparkline>
          </x14:sparklines>
        </x14:sparklineGroup>
        <x14:sparklineGroup displayEmptyCellsAs="gap" high="1" xr2:uid="{585FFA05-0767-144B-9373-528804F74F6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data!J209:J220</xm:f>
              <xm:sqref>K11</xm:sqref>
            </x14:sparkline>
            <x14:sparkline>
              <xm:f>data!J209:J220</xm:f>
              <xm:sqref>K12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K37"/>
  <sheetViews>
    <sheetView zoomScale="90" zoomScaleNormal="90" zoomScalePageLayoutView="90" workbookViewId="0">
      <selection activeCell="D12" sqref="D12"/>
    </sheetView>
  </sheetViews>
  <sheetFormatPr baseColWidth="10" defaultColWidth="11.5" defaultRowHeight="13" x14ac:dyDescent="0.15"/>
  <cols>
    <col min="1" max="1" width="7.1640625" customWidth="1"/>
    <col min="2" max="2" width="62.16406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42" t="str">
        <f>CONCATENATE("PO.DAAC Summary for ", Summary_data!X1)</f>
        <v>PO.DAAC Summary for FY 2021</v>
      </c>
      <c r="C1" s="342"/>
      <c r="D1" s="342"/>
      <c r="E1" s="342"/>
      <c r="F1" s="342"/>
      <c r="G1" s="342"/>
      <c r="H1" s="342"/>
      <c r="I1" s="342"/>
      <c r="J1" s="342"/>
      <c r="K1" s="342"/>
    </row>
    <row r="2" spans="1:11" ht="25" customHeight="1" thickBot="1" x14ac:dyDescent="0.2">
      <c r="B2" s="351" t="str">
        <f>Summary_data!Z2</f>
        <v>FY2021 Metrics (Oct 2020 to Sep 2021)</v>
      </c>
      <c r="C2" s="352"/>
      <c r="D2" s="353"/>
      <c r="F2" s="356" t="str">
        <f>CONCATENATE(data!$L$2, " Distribution and User Trends ", Summary_data!W1)</f>
        <v>PO.DAAC Distribution and User Trends (Oct 2020 to Sep 2021)</v>
      </c>
      <c r="G2" s="357"/>
      <c r="H2" s="357"/>
      <c r="I2" s="358"/>
      <c r="J2" s="358"/>
      <c r="K2" s="359"/>
    </row>
    <row r="3" spans="1:11" ht="18" customHeight="1" thickBot="1" x14ac:dyDescent="0.2">
      <c r="B3" s="40" t="s">
        <v>64</v>
      </c>
      <c r="C3" s="40" t="s">
        <v>63</v>
      </c>
      <c r="D3" s="40" t="str">
        <f>Summary_data!$C$14</f>
        <v>PO.DAAC</v>
      </c>
      <c r="F3" s="332" t="s">
        <v>64</v>
      </c>
      <c r="G3" s="41" t="s">
        <v>11</v>
      </c>
      <c r="H3" s="42"/>
      <c r="I3" s="43" t="s">
        <v>25</v>
      </c>
      <c r="J3" s="43" t="s">
        <v>32</v>
      </c>
      <c r="K3" s="44" t="s">
        <v>26</v>
      </c>
    </row>
    <row r="4" spans="1:11" ht="18" customHeight="1" thickBot="1" x14ac:dyDescent="0.2">
      <c r="B4" s="324" t="s">
        <v>150</v>
      </c>
      <c r="C4" s="58">
        <f>Summary_data!AA13</f>
        <v>14300</v>
      </c>
      <c r="D4" s="60">
        <f>Summary_data!$D$14</f>
        <v>1641</v>
      </c>
      <c r="F4" s="333"/>
      <c r="G4" s="45" t="str">
        <f>Summary_data!AE2</f>
        <v>FY2021</v>
      </c>
      <c r="H4" s="46"/>
      <c r="I4" s="47" t="str">
        <f>Summary_data!AF2</f>
        <v>FY2020</v>
      </c>
      <c r="J4" s="46" t="s">
        <v>27</v>
      </c>
      <c r="K4" s="48" t="s">
        <v>28</v>
      </c>
    </row>
    <row r="5" spans="1:11" ht="22" customHeight="1" thickBot="1" x14ac:dyDescent="0.2">
      <c r="B5" s="326" t="s">
        <v>195</v>
      </c>
      <c r="C5" s="58" t="str">
        <f>Summary_data!AA14</f>
        <v>4.73 M</v>
      </c>
      <c r="D5" s="61">
        <f>Summary_data!I$14</f>
        <v>76901</v>
      </c>
      <c r="F5" s="339" t="s">
        <v>68</v>
      </c>
      <c r="G5" s="374">
        <f>data!$L$15</f>
        <v>84.94147000000001</v>
      </c>
      <c r="H5" s="354"/>
      <c r="I5" s="346">
        <f>(data!$L$15-data!$L$17)/data!$L$17</f>
        <v>0.43085127439408477</v>
      </c>
      <c r="J5" s="355">
        <f>data!$L$16</f>
        <v>7.0784558333333338</v>
      </c>
      <c r="K5" s="349"/>
    </row>
    <row r="6" spans="1:11" ht="18" customHeight="1" thickBot="1" x14ac:dyDescent="0.2">
      <c r="B6" s="326" t="s">
        <v>197</v>
      </c>
      <c r="C6" s="58" t="str">
        <f>Summary_data!AA15</f>
        <v>4.4 M</v>
      </c>
      <c r="D6" s="61">
        <f>Summary_data!K$14</f>
        <v>52948</v>
      </c>
      <c r="F6" s="338"/>
      <c r="G6" s="375"/>
      <c r="H6" s="334"/>
      <c r="I6" s="347"/>
      <c r="J6" s="350"/>
      <c r="K6" s="343"/>
    </row>
    <row r="7" spans="1:11" ht="18" customHeight="1" thickBot="1" x14ac:dyDescent="0.2">
      <c r="B7" s="326" t="s">
        <v>0</v>
      </c>
      <c r="C7" s="63" t="str">
        <f>Summary_data!AA16</f>
        <v>53.9 TB/day</v>
      </c>
      <c r="D7" s="59" t="str">
        <f>CONCATENATE(FIXED(1024*Summary_data!$N$14,1), " GB/day")</f>
        <v>1,989.7 GB/day</v>
      </c>
      <c r="F7" s="337" t="s">
        <v>62</v>
      </c>
      <c r="G7" s="371">
        <f>data!$L$67</f>
        <v>1446.7530219632524</v>
      </c>
      <c r="H7" s="334"/>
      <c r="I7" s="346">
        <f>(data!$L$67-data!$L$69)/data!$L$69</f>
        <v>0.52871285372059984</v>
      </c>
      <c r="J7" s="350">
        <f>data!$L$68</f>
        <v>120.56275183027104</v>
      </c>
      <c r="K7" s="343"/>
    </row>
    <row r="8" spans="1:11" ht="18" customHeight="1" thickBot="1" x14ac:dyDescent="0.2">
      <c r="B8" s="326" t="s">
        <v>200</v>
      </c>
      <c r="C8" s="63" t="str">
        <f>Summary_data!AA17</f>
        <v>59.24 PB</v>
      </c>
      <c r="D8" s="62" t="str">
        <f>CONCATENATE(FIXED(Summary_data!$O$14,1), " TB")</f>
        <v>1,376.3 TB</v>
      </c>
      <c r="F8" s="338"/>
      <c r="G8" s="372"/>
      <c r="H8" s="334"/>
      <c r="I8" s="347"/>
      <c r="J8" s="350"/>
      <c r="K8" s="343"/>
    </row>
    <row r="9" spans="1:11" ht="18" customHeight="1" thickBot="1" x14ac:dyDescent="0.2">
      <c r="B9" s="326" t="s">
        <v>202</v>
      </c>
      <c r="C9" s="58" t="str">
        <f>Summary_data!AA18</f>
        <v>15.77 PB</v>
      </c>
      <c r="D9" s="62" t="str">
        <f>CONCATENATE(FIXED(Summary_data!$U$14,1), " TB")</f>
        <v>582.1 TB</v>
      </c>
      <c r="F9" s="337" t="s">
        <v>58</v>
      </c>
      <c r="G9" s="344">
        <f>data!$L$120</f>
        <v>40874</v>
      </c>
      <c r="H9" s="334"/>
      <c r="I9" s="346">
        <f>(data!$L$120-data!$L$121)/data!$L$121</f>
        <v>0.49093561918657669</v>
      </c>
      <c r="J9" s="348">
        <f>data!$L$119</f>
        <v>3406.1666666666665</v>
      </c>
      <c r="K9" s="343"/>
    </row>
    <row r="10" spans="1:11" ht="18" customHeight="1" thickBot="1" x14ac:dyDescent="0.2">
      <c r="B10" s="326" t="s">
        <v>204</v>
      </c>
      <c r="C10" s="58" t="str">
        <f>Summary_data!AA19</f>
        <v>1,983.87 M</v>
      </c>
      <c r="D10" s="61" t="str">
        <f>CONCATENATE(FIXED(Summary_data!$R$14,1), " M")</f>
        <v>8.5 M</v>
      </c>
      <c r="F10" s="338"/>
      <c r="G10" s="373"/>
      <c r="H10" s="334"/>
      <c r="I10" s="347"/>
      <c r="J10" s="348"/>
      <c r="K10" s="343"/>
    </row>
    <row r="11" spans="1:11" ht="18" customHeight="1" thickBot="1" x14ac:dyDescent="0.2">
      <c r="B11" s="326" t="s">
        <v>206</v>
      </c>
      <c r="C11" s="58" t="str">
        <f>Summary_data!AA20</f>
        <v>19.87 M</v>
      </c>
      <c r="D11" s="61" t="str">
        <f>CONCATENATE(FIXED(Summary_data!$V$14,1), " M")</f>
        <v>0.6 M</v>
      </c>
      <c r="E11" s="5"/>
      <c r="F11" s="337" t="s">
        <v>138</v>
      </c>
      <c r="G11" s="344">
        <f>data!$L$223</f>
        <v>48161</v>
      </c>
      <c r="H11" s="334"/>
      <c r="I11" s="347">
        <f>(data!$L$223-data!$L$224)/data!$L$224</f>
        <v>0.20471771268479375</v>
      </c>
      <c r="J11" s="348">
        <f>data!$L$222</f>
        <v>4529.583333333333</v>
      </c>
      <c r="K11" s="343"/>
    </row>
    <row r="12" spans="1:11" ht="18" customHeight="1" thickBot="1" x14ac:dyDescent="0.2">
      <c r="B12" s="326" t="s">
        <v>208</v>
      </c>
      <c r="C12" s="58" t="str">
        <f>Summary_data!AA21</f>
        <v>171 TB/day</v>
      </c>
      <c r="D12" s="61" t="str">
        <f>CONCATENATE(FIXED(1024*Summary_data!$T$14,1), " GB/day")</f>
        <v>4,058.8 GB/day</v>
      </c>
      <c r="F12" s="361"/>
      <c r="G12" s="376"/>
      <c r="H12" s="363"/>
      <c r="I12" s="364"/>
      <c r="J12" s="365"/>
      <c r="K12" s="360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F9:F10"/>
    <mergeCell ref="G9:G10"/>
    <mergeCell ref="H9:H10"/>
    <mergeCell ref="I9:I10"/>
    <mergeCell ref="J9:J10"/>
    <mergeCell ref="K9:K10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{0310F14A-84F3-DF4A-A74A-75E76026E706}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{ED353B51-7CDA-1144-B638-4D892ACC8C87}</x14:id>
        </ext>
      </extLs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{6E50A50C-B1BD-8D4B-86FB-B7C37FFB3A74}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292">
      <iconSet iconSet="3Arrows">
        <cfvo type="percent" val="0"/>
        <cfvo type="num" val="0"/>
        <cfvo type="num" val="0.01"/>
      </iconSet>
    </cfRule>
    <cfRule type="iconSet" priority="293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298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99">
      <iconSet>
        <cfvo type="percent" val="0"/>
        <cfvo type="percent" val="33"/>
        <cfvo type="percent" val="67"/>
      </iconSet>
    </cfRule>
    <cfRule type="iconSet" priority="300">
      <iconSet iconSet="4Arrows">
        <cfvo type="percent" val="0"/>
        <cfvo type="percent" val="25"/>
        <cfvo type="percent" val="50"/>
        <cfvo type="percentile" val="75"/>
      </iconSet>
    </cfRule>
    <cfRule type="iconSet" priority="30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02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313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10F14A-84F3-DF4A-A74A-75E76026E706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ED353B51-7CDA-1144-B638-4D892ACC8C87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6E50A50C-B1BD-8D4B-86FB-B7C37FFB3A74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C00-00003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data!L106:L117</xm:f>
              <xm:sqref>K9</xm:sqref>
            </x14:sparkline>
          </x14:sparklines>
        </x14:sparklineGroup>
        <x14:sparklineGroup manualMax="0" manualMin="0" displayEmptyCellsAs="gap" high="1" xr2:uid="{00000000-0003-0000-0C00-00003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data!L3:L14</xm:f>
              <xm:sqref>K5</xm:sqref>
            </x14:sparkline>
          </x14:sparklines>
        </x14:sparklineGroup>
        <x14:sparklineGroup manualMax="0" manualMin="0" displayEmptyCellsAs="gap" high="1" xr2:uid="{00000000-0003-0000-0C00-00003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data!L55:L66</xm:f>
              <xm:sqref>K7</xm:sqref>
            </x14:sparkline>
          </x14:sparklines>
        </x14:sparklineGroup>
        <x14:sparklineGroup manualMax="0" manualMin="0" displayEmptyCellsAs="gap" high="1" xr2:uid="{00000000-0003-0000-0C00-00003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data!L209:L220</xm:f>
              <xm:sqref>K11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K37"/>
  <sheetViews>
    <sheetView zoomScale="90" zoomScaleNormal="90" zoomScalePageLayoutView="90" workbookViewId="0">
      <selection activeCell="D12" sqref="D12"/>
    </sheetView>
  </sheetViews>
  <sheetFormatPr baseColWidth="10" defaultColWidth="11.5" defaultRowHeight="13" x14ac:dyDescent="0.15"/>
  <cols>
    <col min="1" max="1" width="7.1640625" customWidth="1"/>
    <col min="2" max="2" width="63.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42" t="str">
        <f>CONCATENATE("SEDAC Summary for ", Summary_data!X1)</f>
        <v>SEDAC Summary for FY 2021</v>
      </c>
      <c r="C1" s="342"/>
      <c r="D1" s="342"/>
      <c r="E1" s="342"/>
      <c r="F1" s="342"/>
      <c r="G1" s="342"/>
      <c r="H1" s="342"/>
      <c r="I1" s="342"/>
      <c r="J1" s="342"/>
      <c r="K1" s="342"/>
    </row>
    <row r="2" spans="1:11" ht="25" customHeight="1" thickBot="1" x14ac:dyDescent="0.2">
      <c r="B2" s="351" t="str">
        <f>Summary_data!Z2</f>
        <v>FY2021 Metrics (Oct 2020 to Sep 2021)</v>
      </c>
      <c r="C2" s="352"/>
      <c r="D2" s="353"/>
      <c r="F2" s="356" t="str">
        <f>CONCATENATE(data!$M$2, " Distribution and User Trends ", Summary_data!W1)</f>
        <v>SEDAC Distribution and User Trends (Oct 2020 to Sep 2021)</v>
      </c>
      <c r="G2" s="357"/>
      <c r="H2" s="357"/>
      <c r="I2" s="358"/>
      <c r="J2" s="358"/>
      <c r="K2" s="359"/>
    </row>
    <row r="3" spans="1:11" ht="18" customHeight="1" thickBot="1" x14ac:dyDescent="0.2">
      <c r="B3" s="40" t="s">
        <v>64</v>
      </c>
      <c r="C3" s="40" t="s">
        <v>63</v>
      </c>
      <c r="D3" s="40" t="str">
        <f>Summary_data!$C$15</f>
        <v>SEDAC</v>
      </c>
      <c r="F3" s="332" t="s">
        <v>64</v>
      </c>
      <c r="G3" s="41" t="s">
        <v>11</v>
      </c>
      <c r="H3" s="42"/>
      <c r="I3" s="43" t="s">
        <v>25</v>
      </c>
      <c r="J3" s="43" t="s">
        <v>32</v>
      </c>
      <c r="K3" s="44" t="s">
        <v>26</v>
      </c>
    </row>
    <row r="4" spans="1:11" ht="18" customHeight="1" thickBot="1" x14ac:dyDescent="0.2">
      <c r="B4" s="324" t="s">
        <v>150</v>
      </c>
      <c r="C4" s="58">
        <f>Summary_data!AA13</f>
        <v>14300</v>
      </c>
      <c r="D4" s="60">
        <f>Summary_data!$D$15</f>
        <v>467</v>
      </c>
      <c r="F4" s="333"/>
      <c r="G4" s="45" t="str">
        <f>Summary_data!AE2</f>
        <v>FY2021</v>
      </c>
      <c r="H4" s="46"/>
      <c r="I4" s="47" t="str">
        <f>Summary_data!AF2</f>
        <v>FY2020</v>
      </c>
      <c r="J4" s="46" t="s">
        <v>27</v>
      </c>
      <c r="K4" s="48" t="s">
        <v>28</v>
      </c>
    </row>
    <row r="5" spans="1:11" ht="23" customHeight="1" thickBot="1" x14ac:dyDescent="0.2">
      <c r="B5" s="326" t="s">
        <v>195</v>
      </c>
      <c r="C5" s="58" t="str">
        <f>Summary_data!AA14</f>
        <v>4.73 M</v>
      </c>
      <c r="D5" s="61">
        <f>Summary_data!I$15</f>
        <v>249861</v>
      </c>
      <c r="F5" s="339" t="s">
        <v>68</v>
      </c>
      <c r="G5" s="374">
        <f>data!$M$15</f>
        <v>1.268106</v>
      </c>
      <c r="H5" s="354"/>
      <c r="I5" s="346">
        <f>(data!$M$15-data!$M$17)/data!$M$17</f>
        <v>-4.1429028212739652E-2</v>
      </c>
      <c r="J5" s="355">
        <f>data!$M$16</f>
        <v>0.10567549999999999</v>
      </c>
      <c r="K5" s="349"/>
    </row>
    <row r="6" spans="1:11" ht="18" customHeight="1" thickBot="1" x14ac:dyDescent="0.2">
      <c r="B6" s="326" t="s">
        <v>197</v>
      </c>
      <c r="C6" s="58" t="str">
        <f>Summary_data!AA15</f>
        <v>4.4 M</v>
      </c>
      <c r="D6" s="61">
        <f>Summary_data!K$15</f>
        <v>136290</v>
      </c>
      <c r="F6" s="338"/>
      <c r="G6" s="375"/>
      <c r="H6" s="334"/>
      <c r="I6" s="347"/>
      <c r="J6" s="350"/>
      <c r="K6" s="343"/>
    </row>
    <row r="7" spans="1:11" ht="18" customHeight="1" thickBot="1" x14ac:dyDescent="0.2">
      <c r="B7" s="326" t="s">
        <v>0</v>
      </c>
      <c r="C7" s="63" t="str">
        <f>Summary_data!AA16</f>
        <v>53.9 TB/day</v>
      </c>
      <c r="D7" s="59" t="str">
        <f>CONCATENATE(FIXED(1024*Summary_data!$N$15,2), " GB/day")</f>
        <v>2.01 GB/day</v>
      </c>
      <c r="F7" s="337" t="s">
        <v>62</v>
      </c>
      <c r="G7" s="371">
        <f>data!$M$67</f>
        <v>18.567785647362996</v>
      </c>
      <c r="H7" s="334"/>
      <c r="I7" s="346">
        <f>(data!$M$67-data!$M$69)/data!$M$69</f>
        <v>0.26684313284883643</v>
      </c>
      <c r="J7" s="350">
        <f>data!$M$68</f>
        <v>1.547315470613583</v>
      </c>
      <c r="K7" s="343"/>
    </row>
    <row r="8" spans="1:11" ht="18" customHeight="1" thickBot="1" x14ac:dyDescent="0.2">
      <c r="B8" s="326" t="s">
        <v>200</v>
      </c>
      <c r="C8" s="63" t="str">
        <f>Summary_data!AA17</f>
        <v>59.24 PB</v>
      </c>
      <c r="D8" s="62" t="str">
        <f>CONCATENATE(FIXED(Summary_data!$O$15,1), " TB")</f>
        <v>10.6 TB</v>
      </c>
      <c r="F8" s="338"/>
      <c r="G8" s="372"/>
      <c r="H8" s="334"/>
      <c r="I8" s="347"/>
      <c r="J8" s="350"/>
      <c r="K8" s="343"/>
    </row>
    <row r="9" spans="1:11" ht="18" customHeight="1" thickBot="1" x14ac:dyDescent="0.2">
      <c r="B9" s="326" t="s">
        <v>202</v>
      </c>
      <c r="C9" s="58" t="str">
        <f>Summary_data!AA18</f>
        <v>15.77 PB</v>
      </c>
      <c r="D9" s="61"/>
      <c r="F9" s="337" t="s">
        <v>58</v>
      </c>
      <c r="G9" s="344">
        <f>data!$M$120</f>
        <v>164669</v>
      </c>
      <c r="H9" s="334"/>
      <c r="I9" s="346">
        <f>(data!$M$120-data!$M$121)/data!$M$121</f>
        <v>4.1174276193908586E-2</v>
      </c>
      <c r="J9" s="348">
        <f>data!$M$119</f>
        <v>13722.416666666666</v>
      </c>
      <c r="K9" s="343"/>
    </row>
    <row r="10" spans="1:11" ht="18" customHeight="1" thickBot="1" x14ac:dyDescent="0.2">
      <c r="B10" s="326" t="s">
        <v>204</v>
      </c>
      <c r="C10" s="58" t="str">
        <f>Summary_data!AA19</f>
        <v>1,983.87 M</v>
      </c>
      <c r="D10" s="61" t="str">
        <f>CONCATENATE(FIXED(Summary_data!$R$15,1), " M")</f>
        <v>1.3 M</v>
      </c>
      <c r="F10" s="338"/>
      <c r="G10" s="373"/>
      <c r="H10" s="334"/>
      <c r="I10" s="347"/>
      <c r="J10" s="348"/>
      <c r="K10" s="343"/>
    </row>
    <row r="11" spans="1:11" ht="18" customHeight="1" thickBot="1" x14ac:dyDescent="0.2">
      <c r="B11" s="326" t="s">
        <v>206</v>
      </c>
      <c r="C11" s="58" t="str">
        <f>Summary_data!AA20</f>
        <v>19.87 M</v>
      </c>
      <c r="D11" s="61"/>
      <c r="E11" s="5"/>
      <c r="F11" s="337" t="s">
        <v>138</v>
      </c>
      <c r="G11" s="344">
        <f>data!$M$223</f>
        <v>106416</v>
      </c>
      <c r="H11" s="334"/>
      <c r="I11" s="347">
        <f>(data!$M$223-data!$M$224)/data!$M$224</f>
        <v>-6.5442460113707438E-3</v>
      </c>
      <c r="J11" s="348">
        <f>data!$M$222</f>
        <v>9569.5</v>
      </c>
      <c r="K11" s="343"/>
    </row>
    <row r="12" spans="1:11" ht="18" customHeight="1" thickBot="1" x14ac:dyDescent="0.2">
      <c r="B12" s="326" t="s">
        <v>208</v>
      </c>
      <c r="C12" s="58" t="str">
        <f>Summary_data!AA21</f>
        <v>171 TB/day</v>
      </c>
      <c r="D12" s="61" t="str">
        <f>CONCATENATE(FIXED(1024*Summary_data!$T$15,1), " GB/day")</f>
        <v>52.1 GB/day</v>
      </c>
      <c r="F12" s="361"/>
      <c r="G12" s="376"/>
      <c r="H12" s="363"/>
      <c r="I12" s="364"/>
      <c r="J12" s="365"/>
      <c r="K12" s="360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K9:K10"/>
    <mergeCell ref="F9:F10"/>
    <mergeCell ref="G9:G10"/>
    <mergeCell ref="H9:H10"/>
    <mergeCell ref="I9:I10"/>
    <mergeCell ref="J9:J10"/>
    <mergeCell ref="K11:K12"/>
    <mergeCell ref="F11:F12"/>
    <mergeCell ref="G11:G12"/>
    <mergeCell ref="H11:H12"/>
    <mergeCell ref="I11:I12"/>
    <mergeCell ref="J11:J12"/>
    <mergeCell ref="B1:K1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{F7ED5237-CD7F-7945-94D6-894FB9DC7BB8}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{7736DFA4-F95A-D64A-8616-9627953CBFB0}</x14:id>
        </ext>
      </extLs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{513460A5-2268-874B-A210-B5E01CAA965E}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314">
      <iconSet iconSet="3Arrows">
        <cfvo type="percent" val="0"/>
        <cfvo type="num" val="0"/>
        <cfvo type="num" val="0.01"/>
      </iconSet>
    </cfRule>
    <cfRule type="iconSet" priority="315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32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1">
      <iconSet>
        <cfvo type="percent" val="0"/>
        <cfvo type="percent" val="33"/>
        <cfvo type="percent" val="67"/>
      </iconSet>
    </cfRule>
    <cfRule type="iconSet" priority="322">
      <iconSet iconSet="4Arrows">
        <cfvo type="percent" val="0"/>
        <cfvo type="percent" val="25"/>
        <cfvo type="percent" val="50"/>
        <cfvo type="percentile" val="75"/>
      </iconSet>
    </cfRule>
    <cfRule type="iconSet" priority="3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4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335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ED5237-CD7F-7945-94D6-894FB9DC7BB8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7736DFA4-F95A-D64A-8616-9627953CBFB0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513460A5-2268-874B-A210-B5E01CAA965E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D00-00003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data!M55:M66</xm:f>
              <xm:sqref>K7</xm:sqref>
            </x14:sparkline>
          </x14:sparklines>
        </x14:sparklineGroup>
        <x14:sparklineGroup manualMax="0" manualMin="0" displayEmptyCellsAs="gap" high="1" xr2:uid="{00000000-0003-0000-0D00-00003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data!M3:M14</xm:f>
              <xm:sqref>K5</xm:sqref>
            </x14:sparkline>
          </x14:sparklines>
        </x14:sparklineGroup>
        <x14:sparklineGroup manualMax="0" manualMin="0" displayEmptyCellsAs="gap" high="1" xr2:uid="{00000000-0003-0000-0D00-00003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data!M106:M117</xm:f>
              <xm:sqref>K9</xm:sqref>
            </x14:sparkline>
          </x14:sparklines>
        </x14:sparklineGroup>
        <x14:sparklineGroup manualMax="0" manualMin="0" displayEmptyCellsAs="gap" high="1" xr2:uid="{00000000-0003-0000-0D00-00003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data!M209:M220</xm:f>
              <xm:sqref>K11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K37"/>
  <sheetViews>
    <sheetView zoomScale="90" zoomScaleNormal="90" zoomScalePageLayoutView="90" workbookViewId="0">
      <selection activeCell="B80" sqref="B80"/>
    </sheetView>
  </sheetViews>
  <sheetFormatPr baseColWidth="10" defaultColWidth="11.5" defaultRowHeight="13" x14ac:dyDescent="0.15"/>
  <cols>
    <col min="1" max="1" width="7.1640625" customWidth="1"/>
    <col min="2" max="2" width="56.6640625" customWidth="1"/>
    <col min="3" max="3" width="18.1640625" customWidth="1"/>
    <col min="4" max="4" width="17.5" customWidth="1"/>
    <col min="5" max="5" width="3.5" customWidth="1"/>
    <col min="6" max="6" width="16" customWidth="1"/>
    <col min="7" max="7" width="13" customWidth="1"/>
    <col min="8" max="8" width="1.6640625" customWidth="1"/>
    <col min="9" max="9" width="14" customWidth="1"/>
    <col min="10" max="10" width="15" customWidth="1"/>
    <col min="11" max="11" width="29.5" customWidth="1"/>
    <col min="12" max="12" width="19.83203125" customWidth="1"/>
    <col min="13" max="13" width="22.1640625" customWidth="1"/>
    <col min="14" max="14" width="42.83203125" customWidth="1"/>
    <col min="15" max="15" width="29.83203125" customWidth="1"/>
  </cols>
  <sheetData>
    <row r="1" spans="1:11" ht="52" customHeight="1" thickBot="1" x14ac:dyDescent="0.2">
      <c r="A1" s="7"/>
      <c r="B1" s="342" t="str">
        <f>CONCATENATE("LANCE Summary for ", Summary_data!X1)</f>
        <v>LANCE Summary for FY 2021</v>
      </c>
      <c r="C1" s="342"/>
      <c r="D1" s="342"/>
      <c r="E1" s="342"/>
      <c r="F1" s="342"/>
      <c r="G1" s="342"/>
      <c r="H1" s="342"/>
      <c r="I1" s="342"/>
      <c r="J1" s="342"/>
      <c r="K1" s="342"/>
    </row>
    <row r="2" spans="1:11" ht="25" customHeight="1" thickBot="1" x14ac:dyDescent="0.2">
      <c r="B2" s="351" t="str">
        <f>Summary_data!Z2</f>
        <v>FY2021 Metrics (Oct 2020 to Sep 2021)</v>
      </c>
      <c r="C2" s="352"/>
      <c r="D2" s="353"/>
      <c r="F2" s="356" t="str">
        <f>CONCATENATE(L_data!B2, " Distribution and User Trends ", Summary_data!W1)</f>
        <v>LANCE Distribution and User Trends (Oct 2020 to Sep 2021)</v>
      </c>
      <c r="G2" s="357"/>
      <c r="H2" s="357"/>
      <c r="I2" s="358"/>
      <c r="J2" s="358"/>
      <c r="K2" s="359"/>
    </row>
    <row r="3" spans="1:11" ht="18" customHeight="1" thickBot="1" x14ac:dyDescent="0.2">
      <c r="B3" s="40" t="s">
        <v>64</v>
      </c>
      <c r="C3" s="40" t="s">
        <v>63</v>
      </c>
      <c r="D3" s="40" t="str">
        <f>L_Summary_data!B4</f>
        <v>LANCE</v>
      </c>
      <c r="F3" s="332" t="s">
        <v>64</v>
      </c>
      <c r="G3" s="41" t="s">
        <v>11</v>
      </c>
      <c r="H3" s="42"/>
      <c r="I3" s="43" t="s">
        <v>25</v>
      </c>
      <c r="J3" s="43" t="s">
        <v>32</v>
      </c>
      <c r="K3" s="44" t="s">
        <v>26</v>
      </c>
    </row>
    <row r="4" spans="1:11" ht="18" customHeight="1" thickBot="1" x14ac:dyDescent="0.2">
      <c r="B4" s="246" t="s">
        <v>150</v>
      </c>
      <c r="C4" s="58">
        <f>Summary_data!AA13</f>
        <v>14300</v>
      </c>
      <c r="D4" s="103">
        <f>L_Summary_data!C4</f>
        <v>765</v>
      </c>
      <c r="F4" s="333"/>
      <c r="G4" s="45" t="str">
        <f>Summary_data!AE2</f>
        <v>FY2021</v>
      </c>
      <c r="H4" s="46"/>
      <c r="I4" s="47" t="str">
        <f>Summary_data!AF2</f>
        <v>FY2020</v>
      </c>
      <c r="J4" s="46" t="s">
        <v>27</v>
      </c>
      <c r="K4" s="48" t="s">
        <v>28</v>
      </c>
    </row>
    <row r="5" spans="1:11" ht="24" customHeight="1" thickBot="1" x14ac:dyDescent="0.2">
      <c r="B5" s="245" t="s">
        <v>151</v>
      </c>
      <c r="C5" s="58" t="str">
        <f>Summary_data!AA4</f>
        <v>4.73 M</v>
      </c>
      <c r="D5" s="104">
        <f>L_Summary_data!H4</f>
        <v>542132</v>
      </c>
      <c r="F5" s="339" t="s">
        <v>68</v>
      </c>
      <c r="G5" s="340">
        <f>L_data!B16</f>
        <v>125.124663</v>
      </c>
      <c r="H5" s="354"/>
      <c r="I5" s="346">
        <f>(L_data!B$16-L_data!B$18)/L_data!B$18</f>
        <v>0</v>
      </c>
      <c r="J5" s="355">
        <f>L_data!B$17</f>
        <v>10.42705525</v>
      </c>
      <c r="K5" s="384"/>
    </row>
    <row r="6" spans="1:11" ht="18" customHeight="1" thickBot="1" x14ac:dyDescent="0.2">
      <c r="B6" s="245" t="s">
        <v>148</v>
      </c>
      <c r="C6" s="58"/>
      <c r="D6" s="104">
        <f>L_Summary_data!F4</f>
        <v>4387</v>
      </c>
      <c r="F6" s="338"/>
      <c r="G6" s="341"/>
      <c r="H6" s="334"/>
      <c r="I6" s="347"/>
      <c r="J6" s="350"/>
      <c r="K6" s="385"/>
    </row>
    <row r="7" spans="1:11" ht="18" customHeight="1" thickBot="1" x14ac:dyDescent="0.2">
      <c r="B7" s="245" t="s">
        <v>149</v>
      </c>
      <c r="C7" s="58"/>
      <c r="D7" s="104">
        <f>L_data!I108</f>
        <v>391785</v>
      </c>
      <c r="F7" s="337" t="s">
        <v>62</v>
      </c>
      <c r="G7" s="335">
        <f>L_data!B69</f>
        <v>2287.2350702581357</v>
      </c>
      <c r="H7" s="334"/>
      <c r="I7" s="346">
        <f>(L_data!B$69-L_data!B$71)/L_data!B$71</f>
        <v>0</v>
      </c>
      <c r="J7" s="350">
        <f>L_data!B$70</f>
        <v>190.60292252151132</v>
      </c>
      <c r="K7" s="385"/>
    </row>
    <row r="8" spans="1:11" ht="18" customHeight="1" thickBot="1" x14ac:dyDescent="0.2">
      <c r="B8" s="245" t="s">
        <v>143</v>
      </c>
      <c r="C8" s="58" t="str">
        <f>Summary_data!AA5</f>
        <v>4.4 M</v>
      </c>
      <c r="D8" s="104" t="str">
        <f>CONCATENATE(FIXED(L_Summary_data!J$4/1000000,2), " M")</f>
        <v>0.65 M</v>
      </c>
      <c r="F8" s="338"/>
      <c r="G8" s="336"/>
      <c r="H8" s="334"/>
      <c r="I8" s="347"/>
      <c r="J8" s="350"/>
      <c r="K8" s="385"/>
    </row>
    <row r="9" spans="1:11" ht="18" customHeight="1" thickBot="1" x14ac:dyDescent="0.2">
      <c r="B9" s="245" t="s">
        <v>88</v>
      </c>
      <c r="C9" s="104" t="str">
        <f>Summary_data!AA6</f>
        <v>53.9 TB/day</v>
      </c>
      <c r="D9" s="105" t="str">
        <f>CONCATENATE(FIXED(L_Summary_data!$M$4,1), " TB/day")</f>
        <v>6.7 TB/day</v>
      </c>
      <c r="F9" s="337" t="s">
        <v>89</v>
      </c>
      <c r="G9" s="344">
        <f>L_data!B$123</f>
        <v>6004</v>
      </c>
      <c r="H9" s="334"/>
      <c r="I9" s="346">
        <f>(L_data!B$123-L_data!B$124)/L_data!B$124</f>
        <v>0.36858901299293367</v>
      </c>
      <c r="J9" s="348">
        <f>L_data!B$122</f>
        <v>500.33333333333331</v>
      </c>
      <c r="K9" s="385"/>
    </row>
    <row r="10" spans="1:11" ht="21" customHeight="1" thickBot="1" x14ac:dyDescent="0.2">
      <c r="B10" s="245" t="s">
        <v>168</v>
      </c>
      <c r="C10" s="58" t="str">
        <f>Summary_data!AA7</f>
        <v>59.24 PB</v>
      </c>
      <c r="D10" s="106" t="str">
        <f>CONCATENATE(FIXED(L_Summary_data!$N$4,1), " PB")</f>
        <v>2.4 PB</v>
      </c>
      <c r="F10" s="338"/>
      <c r="G10" s="345"/>
      <c r="H10" s="334"/>
      <c r="I10" s="347"/>
      <c r="J10" s="348"/>
      <c r="K10" s="385"/>
    </row>
    <row r="11" spans="1:11" ht="18" customHeight="1" thickBot="1" x14ac:dyDescent="0.2">
      <c r="B11" s="247" t="s">
        <v>1</v>
      </c>
      <c r="C11" s="58" t="str">
        <f>Summary_data!AA8</f>
        <v>15.77 PB</v>
      </c>
      <c r="D11" s="104" t="str">
        <f>CONCATENATE(FIXED(L_Summary_data!$Q$4,1), " M")</f>
        <v>125.1 M</v>
      </c>
      <c r="E11" s="5"/>
      <c r="F11" s="337" t="s">
        <v>138</v>
      </c>
      <c r="G11" s="344">
        <f>L_data!B$268</f>
        <v>1143361</v>
      </c>
      <c r="H11" s="334"/>
      <c r="I11" s="347">
        <f>(L_data!B$268-L_data!B$269)/L_data!B$269</f>
        <v>1.0090263427936856</v>
      </c>
      <c r="J11" s="348">
        <f>L_data!B$267</f>
        <v>95280.083333333328</v>
      </c>
      <c r="K11" s="385"/>
    </row>
    <row r="12" spans="1:11" ht="18" customHeight="1" thickBot="1" x14ac:dyDescent="0.2">
      <c r="B12" s="248" t="s">
        <v>2</v>
      </c>
      <c r="C12" s="106" t="str">
        <f>Summary_data!AA9</f>
        <v>1,983.87 M</v>
      </c>
      <c r="D12" s="106" t="str">
        <f>CONCATENATE(FIXED(L_Summary_data!$S$4,1), " TB/day")</f>
        <v>6.3 TB/day</v>
      </c>
      <c r="F12" s="361"/>
      <c r="G12" s="362"/>
      <c r="H12" s="363"/>
      <c r="I12" s="364"/>
      <c r="J12" s="365"/>
      <c r="K12" s="386"/>
    </row>
    <row r="13" spans="1:11" ht="17" customHeight="1" x14ac:dyDescent="0.15">
      <c r="B13" s="107" t="s">
        <v>90</v>
      </c>
      <c r="C13" s="108"/>
    </row>
    <row r="14" spans="1:11" ht="15" customHeight="1" x14ac:dyDescent="0.15">
      <c r="B14" s="107" t="s">
        <v>91</v>
      </c>
      <c r="C14" s="90"/>
    </row>
    <row r="15" spans="1:11" ht="18" customHeight="1" x14ac:dyDescent="0.15">
      <c r="B15" s="107"/>
    </row>
    <row r="16" spans="1:11" ht="18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25" customHeight="1" x14ac:dyDescent="0.15"/>
    <row r="36" ht="30" customHeight="1" x14ac:dyDescent="0.15"/>
    <row r="37" ht="30" customHeight="1" x14ac:dyDescent="0.15"/>
  </sheetData>
  <dataConsolidate/>
  <mergeCells count="28">
    <mergeCell ref="H7:H8"/>
    <mergeCell ref="I7:I8"/>
    <mergeCell ref="F9:F10"/>
    <mergeCell ref="G9:G10"/>
    <mergeCell ref="H9:H10"/>
    <mergeCell ref="I9:I10"/>
    <mergeCell ref="K11:K12"/>
    <mergeCell ref="F11:F12"/>
    <mergeCell ref="G11:G12"/>
    <mergeCell ref="H11:H12"/>
    <mergeCell ref="I11:I12"/>
    <mergeCell ref="J11:J12"/>
    <mergeCell ref="J9:J10"/>
    <mergeCell ref="B1:K1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J7:J8"/>
    <mergeCell ref="K9:K10"/>
    <mergeCell ref="K7:K8"/>
    <mergeCell ref="F7:F8"/>
    <mergeCell ref="G7:G8"/>
  </mergeCells>
  <conditionalFormatting sqref="K5 K7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{984C1B2A-4516-4CF4-9B7B-6A5830316BAB}</x14:id>
        </ext>
      </extLst>
    </cfRule>
  </conditionalFormatting>
  <conditionalFormatting sqref="K9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{724AEEE0-7B7B-41CA-8505-F4284529BC10}</x14:id>
        </ext>
      </extLs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{8C7AB1BA-A2E8-3943-BDEA-1CE575F76C01}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336">
      <iconSet iconSet="3Arrows">
        <cfvo type="percent" val="0"/>
        <cfvo type="num" val="0"/>
        <cfvo type="num" val="0.01"/>
      </iconSet>
    </cfRule>
    <cfRule type="iconSet" priority="337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34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43">
      <iconSet>
        <cfvo type="percent" val="0"/>
        <cfvo type="percent" val="33"/>
        <cfvo type="percent" val="67"/>
      </iconSet>
    </cfRule>
    <cfRule type="iconSet" priority="344">
      <iconSet iconSet="4Arrows">
        <cfvo type="percent" val="0"/>
        <cfvo type="percent" val="25"/>
        <cfvo type="percent" val="50"/>
        <cfvo type="percentile" val="75"/>
      </iconSet>
    </cfRule>
    <cfRule type="iconSet" priority="34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46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357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4C1B2A-4516-4CF4-9B7B-6A5830316BAB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724AEEE0-7B7B-41CA-8505-F4284529BC10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8C7AB1BA-A2E8-3943-BDEA-1CE575F76C01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E00-00003D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L_data!B57:B68</xm:f>
              <xm:sqref>K7</xm:sqref>
            </x14:sparkline>
          </x14:sparklines>
        </x14:sparklineGroup>
        <x14:sparklineGroup manualMax="0" manualMin="0" displayEmptyCellsAs="gap" high="1" xr2:uid="{00000000-0003-0000-0E00-00003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L_data!B4:B15</xm:f>
              <xm:sqref>K5</xm:sqref>
            </x14:sparkline>
          </x14:sparklines>
        </x14:sparklineGroup>
        <x14:sparklineGroup manualMax="0" manualMin="0" displayEmptyCellsAs="gap" high="1" xr2:uid="{00000000-0003-0000-0E00-00003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L_data!B109:B120</xm:f>
              <xm:sqref>K9</xm:sqref>
            </x14:sparkline>
          </x14:sparklines>
        </x14:sparklineGroup>
        <x14:sparklineGroup manualMax="0" manualMin="0" displayEmptyCellsAs="gap" high="1" xr2:uid="{00000000-0003-0000-0E00-00003E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L_data!B254:B265</xm:f>
              <xm:sqref>K11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AK302"/>
  <sheetViews>
    <sheetView zoomScale="140" zoomScaleNormal="140" workbookViewId="0">
      <selection activeCell="N240" sqref="N240:P240"/>
    </sheetView>
  </sheetViews>
  <sheetFormatPr baseColWidth="10" defaultColWidth="8.83203125" defaultRowHeight="13" x14ac:dyDescent="0.15"/>
  <cols>
    <col min="1" max="1" width="15.5" style="12" customWidth="1"/>
    <col min="2" max="2" width="12.6640625" style="12" customWidth="1"/>
    <col min="3" max="3" width="12.1640625" style="12" customWidth="1"/>
    <col min="4" max="4" width="11.5" style="12" customWidth="1"/>
    <col min="5" max="5" width="10" style="12" customWidth="1"/>
    <col min="6" max="6" width="10.83203125" style="12" customWidth="1"/>
    <col min="7" max="7" width="11.1640625" style="12" customWidth="1"/>
    <col min="8" max="8" width="11.83203125" style="12" customWidth="1"/>
    <col min="9" max="9" width="10.1640625" style="12" customWidth="1"/>
    <col min="10" max="10" width="11.5" style="12" customWidth="1"/>
    <col min="11" max="12" width="11" style="12" customWidth="1"/>
    <col min="13" max="13" width="10.5" style="12" customWidth="1"/>
    <col min="14" max="14" width="11.5" style="12" customWidth="1"/>
    <col min="15" max="15" width="13.83203125" style="12" bestFit="1" customWidth="1"/>
    <col min="16" max="16" width="17.83203125" style="12" bestFit="1" customWidth="1"/>
    <col min="17" max="17" width="13.83203125" style="12" bestFit="1" customWidth="1"/>
    <col min="18" max="18" width="15" style="12" bestFit="1" customWidth="1"/>
    <col min="19" max="19" width="13.83203125" style="12" bestFit="1" customWidth="1"/>
    <col min="20" max="20" width="11.5" style="12" customWidth="1"/>
    <col min="21" max="21" width="10.6640625" style="12" customWidth="1"/>
    <col min="22" max="22" width="10.83203125" style="12" customWidth="1"/>
    <col min="23" max="23" width="12.6640625" style="12" customWidth="1"/>
    <col min="24" max="24" width="15" style="12" bestFit="1" customWidth="1"/>
    <col min="25" max="25" width="10.1640625" style="12" customWidth="1"/>
    <col min="26" max="26" width="12.1640625" style="12" customWidth="1"/>
    <col min="27" max="27" width="11.33203125" style="12" customWidth="1"/>
    <col min="28" max="28" width="10.33203125" style="12" customWidth="1"/>
    <col min="29" max="29" width="13.5" style="12" bestFit="1" customWidth="1"/>
    <col min="30" max="30" width="13.83203125" style="12" bestFit="1" customWidth="1"/>
    <col min="31" max="31" width="12.1640625" style="12" bestFit="1" customWidth="1"/>
    <col min="32" max="32" width="13.83203125" style="12" bestFit="1" customWidth="1"/>
    <col min="33" max="33" width="15" style="12" bestFit="1" customWidth="1"/>
    <col min="34" max="35" width="13.83203125" style="12" bestFit="1" customWidth="1"/>
    <col min="36" max="36" width="11.5" style="12" customWidth="1"/>
    <col min="37" max="257" width="8.83203125" style="12"/>
    <col min="258" max="258" width="14.5" style="12" customWidth="1"/>
    <col min="259" max="259" width="16.5" style="12" customWidth="1"/>
    <col min="260" max="260" width="14.5" style="12" customWidth="1"/>
    <col min="261" max="263" width="8.83203125" style="12"/>
    <col min="264" max="264" width="10.33203125" style="12" bestFit="1" customWidth="1"/>
    <col min="265" max="265" width="10.1640625" style="12" customWidth="1"/>
    <col min="266" max="266" width="11.5" style="12" customWidth="1"/>
    <col min="267" max="267" width="11" style="12" customWidth="1"/>
    <col min="268" max="268" width="6.33203125" style="12" customWidth="1"/>
    <col min="269" max="269" width="11.33203125" style="12" customWidth="1"/>
    <col min="270" max="270" width="14.6640625" style="12" bestFit="1" customWidth="1"/>
    <col min="271" max="513" width="8.83203125" style="12"/>
    <col min="514" max="514" width="14.5" style="12" customWidth="1"/>
    <col min="515" max="515" width="16.5" style="12" customWidth="1"/>
    <col min="516" max="516" width="14.5" style="12" customWidth="1"/>
    <col min="517" max="519" width="8.83203125" style="12"/>
    <col min="520" max="520" width="10.33203125" style="12" bestFit="1" customWidth="1"/>
    <col min="521" max="521" width="10.1640625" style="12" customWidth="1"/>
    <col min="522" max="522" width="11.5" style="12" customWidth="1"/>
    <col min="523" max="523" width="11" style="12" customWidth="1"/>
    <col min="524" max="524" width="6.33203125" style="12" customWidth="1"/>
    <col min="525" max="525" width="11.33203125" style="12" customWidth="1"/>
    <col min="526" max="526" width="14.6640625" style="12" bestFit="1" customWidth="1"/>
    <col min="527" max="769" width="8.83203125" style="12"/>
    <col min="770" max="770" width="14.5" style="12" customWidth="1"/>
    <col min="771" max="771" width="16.5" style="12" customWidth="1"/>
    <col min="772" max="772" width="14.5" style="12" customWidth="1"/>
    <col min="773" max="775" width="8.83203125" style="12"/>
    <col min="776" max="776" width="10.33203125" style="12" bestFit="1" customWidth="1"/>
    <col min="777" max="777" width="10.1640625" style="12" customWidth="1"/>
    <col min="778" max="778" width="11.5" style="12" customWidth="1"/>
    <col min="779" max="779" width="11" style="12" customWidth="1"/>
    <col min="780" max="780" width="6.33203125" style="12" customWidth="1"/>
    <col min="781" max="781" width="11.33203125" style="12" customWidth="1"/>
    <col min="782" max="782" width="14.6640625" style="12" bestFit="1" customWidth="1"/>
    <col min="783" max="1025" width="8.83203125" style="12"/>
    <col min="1026" max="1026" width="14.5" style="12" customWidth="1"/>
    <col min="1027" max="1027" width="16.5" style="12" customWidth="1"/>
    <col min="1028" max="1028" width="14.5" style="12" customWidth="1"/>
    <col min="1029" max="1031" width="8.83203125" style="12"/>
    <col min="1032" max="1032" width="10.33203125" style="12" bestFit="1" customWidth="1"/>
    <col min="1033" max="1033" width="10.1640625" style="12" customWidth="1"/>
    <col min="1034" max="1034" width="11.5" style="12" customWidth="1"/>
    <col min="1035" max="1035" width="11" style="12" customWidth="1"/>
    <col min="1036" max="1036" width="6.33203125" style="12" customWidth="1"/>
    <col min="1037" max="1037" width="11.33203125" style="12" customWidth="1"/>
    <col min="1038" max="1038" width="14.6640625" style="12" bestFit="1" customWidth="1"/>
    <col min="1039" max="1281" width="8.83203125" style="12"/>
    <col min="1282" max="1282" width="14.5" style="12" customWidth="1"/>
    <col min="1283" max="1283" width="16.5" style="12" customWidth="1"/>
    <col min="1284" max="1284" width="14.5" style="12" customWidth="1"/>
    <col min="1285" max="1287" width="8.83203125" style="12"/>
    <col min="1288" max="1288" width="10.33203125" style="12" bestFit="1" customWidth="1"/>
    <col min="1289" max="1289" width="10.1640625" style="12" customWidth="1"/>
    <col min="1290" max="1290" width="11.5" style="12" customWidth="1"/>
    <col min="1291" max="1291" width="11" style="12" customWidth="1"/>
    <col min="1292" max="1292" width="6.33203125" style="12" customWidth="1"/>
    <col min="1293" max="1293" width="11.33203125" style="12" customWidth="1"/>
    <col min="1294" max="1294" width="14.6640625" style="12" bestFit="1" customWidth="1"/>
    <col min="1295" max="1537" width="8.83203125" style="12"/>
    <col min="1538" max="1538" width="14.5" style="12" customWidth="1"/>
    <col min="1539" max="1539" width="16.5" style="12" customWidth="1"/>
    <col min="1540" max="1540" width="14.5" style="12" customWidth="1"/>
    <col min="1541" max="1543" width="8.83203125" style="12"/>
    <col min="1544" max="1544" width="10.33203125" style="12" bestFit="1" customWidth="1"/>
    <col min="1545" max="1545" width="10.1640625" style="12" customWidth="1"/>
    <col min="1546" max="1546" width="11.5" style="12" customWidth="1"/>
    <col min="1547" max="1547" width="11" style="12" customWidth="1"/>
    <col min="1548" max="1548" width="6.33203125" style="12" customWidth="1"/>
    <col min="1549" max="1549" width="11.33203125" style="12" customWidth="1"/>
    <col min="1550" max="1550" width="14.6640625" style="12" bestFit="1" customWidth="1"/>
    <col min="1551" max="1793" width="8.83203125" style="12"/>
    <col min="1794" max="1794" width="14.5" style="12" customWidth="1"/>
    <col min="1795" max="1795" width="16.5" style="12" customWidth="1"/>
    <col min="1796" max="1796" width="14.5" style="12" customWidth="1"/>
    <col min="1797" max="1799" width="8.83203125" style="12"/>
    <col min="1800" max="1800" width="10.33203125" style="12" bestFit="1" customWidth="1"/>
    <col min="1801" max="1801" width="10.1640625" style="12" customWidth="1"/>
    <col min="1802" max="1802" width="11.5" style="12" customWidth="1"/>
    <col min="1803" max="1803" width="11" style="12" customWidth="1"/>
    <col min="1804" max="1804" width="6.33203125" style="12" customWidth="1"/>
    <col min="1805" max="1805" width="11.33203125" style="12" customWidth="1"/>
    <col min="1806" max="1806" width="14.6640625" style="12" bestFit="1" customWidth="1"/>
    <col min="1807" max="2049" width="8.83203125" style="12"/>
    <col min="2050" max="2050" width="14.5" style="12" customWidth="1"/>
    <col min="2051" max="2051" width="16.5" style="12" customWidth="1"/>
    <col min="2052" max="2052" width="14.5" style="12" customWidth="1"/>
    <col min="2053" max="2055" width="8.83203125" style="12"/>
    <col min="2056" max="2056" width="10.33203125" style="12" bestFit="1" customWidth="1"/>
    <col min="2057" max="2057" width="10.1640625" style="12" customWidth="1"/>
    <col min="2058" max="2058" width="11.5" style="12" customWidth="1"/>
    <col min="2059" max="2059" width="11" style="12" customWidth="1"/>
    <col min="2060" max="2060" width="6.33203125" style="12" customWidth="1"/>
    <col min="2061" max="2061" width="11.33203125" style="12" customWidth="1"/>
    <col min="2062" max="2062" width="14.6640625" style="12" bestFit="1" customWidth="1"/>
    <col min="2063" max="2305" width="8.83203125" style="12"/>
    <col min="2306" max="2306" width="14.5" style="12" customWidth="1"/>
    <col min="2307" max="2307" width="16.5" style="12" customWidth="1"/>
    <col min="2308" max="2308" width="14.5" style="12" customWidth="1"/>
    <col min="2309" max="2311" width="8.83203125" style="12"/>
    <col min="2312" max="2312" width="10.33203125" style="12" bestFit="1" customWidth="1"/>
    <col min="2313" max="2313" width="10.1640625" style="12" customWidth="1"/>
    <col min="2314" max="2314" width="11.5" style="12" customWidth="1"/>
    <col min="2315" max="2315" width="11" style="12" customWidth="1"/>
    <col min="2316" max="2316" width="6.33203125" style="12" customWidth="1"/>
    <col min="2317" max="2317" width="11.33203125" style="12" customWidth="1"/>
    <col min="2318" max="2318" width="14.6640625" style="12" bestFit="1" customWidth="1"/>
    <col min="2319" max="2561" width="8.83203125" style="12"/>
    <col min="2562" max="2562" width="14.5" style="12" customWidth="1"/>
    <col min="2563" max="2563" width="16.5" style="12" customWidth="1"/>
    <col min="2564" max="2564" width="14.5" style="12" customWidth="1"/>
    <col min="2565" max="2567" width="8.83203125" style="12"/>
    <col min="2568" max="2568" width="10.33203125" style="12" bestFit="1" customWidth="1"/>
    <col min="2569" max="2569" width="10.1640625" style="12" customWidth="1"/>
    <col min="2570" max="2570" width="11.5" style="12" customWidth="1"/>
    <col min="2571" max="2571" width="11" style="12" customWidth="1"/>
    <col min="2572" max="2572" width="6.33203125" style="12" customWidth="1"/>
    <col min="2573" max="2573" width="11.33203125" style="12" customWidth="1"/>
    <col min="2574" max="2574" width="14.6640625" style="12" bestFit="1" customWidth="1"/>
    <col min="2575" max="2817" width="8.83203125" style="12"/>
    <col min="2818" max="2818" width="14.5" style="12" customWidth="1"/>
    <col min="2819" max="2819" width="16.5" style="12" customWidth="1"/>
    <col min="2820" max="2820" width="14.5" style="12" customWidth="1"/>
    <col min="2821" max="2823" width="8.83203125" style="12"/>
    <col min="2824" max="2824" width="10.33203125" style="12" bestFit="1" customWidth="1"/>
    <col min="2825" max="2825" width="10.1640625" style="12" customWidth="1"/>
    <col min="2826" max="2826" width="11.5" style="12" customWidth="1"/>
    <col min="2827" max="2827" width="11" style="12" customWidth="1"/>
    <col min="2828" max="2828" width="6.33203125" style="12" customWidth="1"/>
    <col min="2829" max="2829" width="11.33203125" style="12" customWidth="1"/>
    <col min="2830" max="2830" width="14.6640625" style="12" bestFit="1" customWidth="1"/>
    <col min="2831" max="3073" width="8.83203125" style="12"/>
    <col min="3074" max="3074" width="14.5" style="12" customWidth="1"/>
    <col min="3075" max="3075" width="16.5" style="12" customWidth="1"/>
    <col min="3076" max="3076" width="14.5" style="12" customWidth="1"/>
    <col min="3077" max="3079" width="8.83203125" style="12"/>
    <col min="3080" max="3080" width="10.33203125" style="12" bestFit="1" customWidth="1"/>
    <col min="3081" max="3081" width="10.1640625" style="12" customWidth="1"/>
    <col min="3082" max="3082" width="11.5" style="12" customWidth="1"/>
    <col min="3083" max="3083" width="11" style="12" customWidth="1"/>
    <col min="3084" max="3084" width="6.33203125" style="12" customWidth="1"/>
    <col min="3085" max="3085" width="11.33203125" style="12" customWidth="1"/>
    <col min="3086" max="3086" width="14.6640625" style="12" bestFit="1" customWidth="1"/>
    <col min="3087" max="3329" width="8.83203125" style="12"/>
    <col min="3330" max="3330" width="14.5" style="12" customWidth="1"/>
    <col min="3331" max="3331" width="16.5" style="12" customWidth="1"/>
    <col min="3332" max="3332" width="14.5" style="12" customWidth="1"/>
    <col min="3333" max="3335" width="8.83203125" style="12"/>
    <col min="3336" max="3336" width="10.33203125" style="12" bestFit="1" customWidth="1"/>
    <col min="3337" max="3337" width="10.1640625" style="12" customWidth="1"/>
    <col min="3338" max="3338" width="11.5" style="12" customWidth="1"/>
    <col min="3339" max="3339" width="11" style="12" customWidth="1"/>
    <col min="3340" max="3340" width="6.33203125" style="12" customWidth="1"/>
    <col min="3341" max="3341" width="11.33203125" style="12" customWidth="1"/>
    <col min="3342" max="3342" width="14.6640625" style="12" bestFit="1" customWidth="1"/>
    <col min="3343" max="3585" width="8.83203125" style="12"/>
    <col min="3586" max="3586" width="14.5" style="12" customWidth="1"/>
    <col min="3587" max="3587" width="16.5" style="12" customWidth="1"/>
    <col min="3588" max="3588" width="14.5" style="12" customWidth="1"/>
    <col min="3589" max="3591" width="8.83203125" style="12"/>
    <col min="3592" max="3592" width="10.33203125" style="12" bestFit="1" customWidth="1"/>
    <col min="3593" max="3593" width="10.1640625" style="12" customWidth="1"/>
    <col min="3594" max="3594" width="11.5" style="12" customWidth="1"/>
    <col min="3595" max="3595" width="11" style="12" customWidth="1"/>
    <col min="3596" max="3596" width="6.33203125" style="12" customWidth="1"/>
    <col min="3597" max="3597" width="11.33203125" style="12" customWidth="1"/>
    <col min="3598" max="3598" width="14.6640625" style="12" bestFit="1" customWidth="1"/>
    <col min="3599" max="3841" width="8.83203125" style="12"/>
    <col min="3842" max="3842" width="14.5" style="12" customWidth="1"/>
    <col min="3843" max="3843" width="16.5" style="12" customWidth="1"/>
    <col min="3844" max="3844" width="14.5" style="12" customWidth="1"/>
    <col min="3845" max="3847" width="8.83203125" style="12"/>
    <col min="3848" max="3848" width="10.33203125" style="12" bestFit="1" customWidth="1"/>
    <col min="3849" max="3849" width="10.1640625" style="12" customWidth="1"/>
    <col min="3850" max="3850" width="11.5" style="12" customWidth="1"/>
    <col min="3851" max="3851" width="11" style="12" customWidth="1"/>
    <col min="3852" max="3852" width="6.33203125" style="12" customWidth="1"/>
    <col min="3853" max="3853" width="11.33203125" style="12" customWidth="1"/>
    <col min="3854" max="3854" width="14.6640625" style="12" bestFit="1" customWidth="1"/>
    <col min="3855" max="4097" width="8.83203125" style="12"/>
    <col min="4098" max="4098" width="14.5" style="12" customWidth="1"/>
    <col min="4099" max="4099" width="16.5" style="12" customWidth="1"/>
    <col min="4100" max="4100" width="14.5" style="12" customWidth="1"/>
    <col min="4101" max="4103" width="8.83203125" style="12"/>
    <col min="4104" max="4104" width="10.33203125" style="12" bestFit="1" customWidth="1"/>
    <col min="4105" max="4105" width="10.1640625" style="12" customWidth="1"/>
    <col min="4106" max="4106" width="11.5" style="12" customWidth="1"/>
    <col min="4107" max="4107" width="11" style="12" customWidth="1"/>
    <col min="4108" max="4108" width="6.33203125" style="12" customWidth="1"/>
    <col min="4109" max="4109" width="11.33203125" style="12" customWidth="1"/>
    <col min="4110" max="4110" width="14.6640625" style="12" bestFit="1" customWidth="1"/>
    <col min="4111" max="4353" width="8.83203125" style="12"/>
    <col min="4354" max="4354" width="14.5" style="12" customWidth="1"/>
    <col min="4355" max="4355" width="16.5" style="12" customWidth="1"/>
    <col min="4356" max="4356" width="14.5" style="12" customWidth="1"/>
    <col min="4357" max="4359" width="8.83203125" style="12"/>
    <col min="4360" max="4360" width="10.33203125" style="12" bestFit="1" customWidth="1"/>
    <col min="4361" max="4361" width="10.1640625" style="12" customWidth="1"/>
    <col min="4362" max="4362" width="11.5" style="12" customWidth="1"/>
    <col min="4363" max="4363" width="11" style="12" customWidth="1"/>
    <col min="4364" max="4364" width="6.33203125" style="12" customWidth="1"/>
    <col min="4365" max="4365" width="11.33203125" style="12" customWidth="1"/>
    <col min="4366" max="4366" width="14.6640625" style="12" bestFit="1" customWidth="1"/>
    <col min="4367" max="4609" width="8.83203125" style="12"/>
    <col min="4610" max="4610" width="14.5" style="12" customWidth="1"/>
    <col min="4611" max="4611" width="16.5" style="12" customWidth="1"/>
    <col min="4612" max="4612" width="14.5" style="12" customWidth="1"/>
    <col min="4613" max="4615" width="8.83203125" style="12"/>
    <col min="4616" max="4616" width="10.33203125" style="12" bestFit="1" customWidth="1"/>
    <col min="4617" max="4617" width="10.1640625" style="12" customWidth="1"/>
    <col min="4618" max="4618" width="11.5" style="12" customWidth="1"/>
    <col min="4619" max="4619" width="11" style="12" customWidth="1"/>
    <col min="4620" max="4620" width="6.33203125" style="12" customWidth="1"/>
    <col min="4621" max="4621" width="11.33203125" style="12" customWidth="1"/>
    <col min="4622" max="4622" width="14.6640625" style="12" bestFit="1" customWidth="1"/>
    <col min="4623" max="4865" width="8.83203125" style="12"/>
    <col min="4866" max="4866" width="14.5" style="12" customWidth="1"/>
    <col min="4867" max="4867" width="16.5" style="12" customWidth="1"/>
    <col min="4868" max="4868" width="14.5" style="12" customWidth="1"/>
    <col min="4869" max="4871" width="8.83203125" style="12"/>
    <col min="4872" max="4872" width="10.33203125" style="12" bestFit="1" customWidth="1"/>
    <col min="4873" max="4873" width="10.1640625" style="12" customWidth="1"/>
    <col min="4874" max="4874" width="11.5" style="12" customWidth="1"/>
    <col min="4875" max="4875" width="11" style="12" customWidth="1"/>
    <col min="4876" max="4876" width="6.33203125" style="12" customWidth="1"/>
    <col min="4877" max="4877" width="11.33203125" style="12" customWidth="1"/>
    <col min="4878" max="4878" width="14.6640625" style="12" bestFit="1" customWidth="1"/>
    <col min="4879" max="5121" width="8.83203125" style="12"/>
    <col min="5122" max="5122" width="14.5" style="12" customWidth="1"/>
    <col min="5123" max="5123" width="16.5" style="12" customWidth="1"/>
    <col min="5124" max="5124" width="14.5" style="12" customWidth="1"/>
    <col min="5125" max="5127" width="8.83203125" style="12"/>
    <col min="5128" max="5128" width="10.33203125" style="12" bestFit="1" customWidth="1"/>
    <col min="5129" max="5129" width="10.1640625" style="12" customWidth="1"/>
    <col min="5130" max="5130" width="11.5" style="12" customWidth="1"/>
    <col min="5131" max="5131" width="11" style="12" customWidth="1"/>
    <col min="5132" max="5132" width="6.33203125" style="12" customWidth="1"/>
    <col min="5133" max="5133" width="11.33203125" style="12" customWidth="1"/>
    <col min="5134" max="5134" width="14.6640625" style="12" bestFit="1" customWidth="1"/>
    <col min="5135" max="5377" width="8.83203125" style="12"/>
    <col min="5378" max="5378" width="14.5" style="12" customWidth="1"/>
    <col min="5379" max="5379" width="16.5" style="12" customWidth="1"/>
    <col min="5380" max="5380" width="14.5" style="12" customWidth="1"/>
    <col min="5381" max="5383" width="8.83203125" style="12"/>
    <col min="5384" max="5384" width="10.33203125" style="12" bestFit="1" customWidth="1"/>
    <col min="5385" max="5385" width="10.1640625" style="12" customWidth="1"/>
    <col min="5386" max="5386" width="11.5" style="12" customWidth="1"/>
    <col min="5387" max="5387" width="11" style="12" customWidth="1"/>
    <col min="5388" max="5388" width="6.33203125" style="12" customWidth="1"/>
    <col min="5389" max="5389" width="11.33203125" style="12" customWidth="1"/>
    <col min="5390" max="5390" width="14.6640625" style="12" bestFit="1" customWidth="1"/>
    <col min="5391" max="5633" width="8.83203125" style="12"/>
    <col min="5634" max="5634" width="14.5" style="12" customWidth="1"/>
    <col min="5635" max="5635" width="16.5" style="12" customWidth="1"/>
    <col min="5636" max="5636" width="14.5" style="12" customWidth="1"/>
    <col min="5637" max="5639" width="8.83203125" style="12"/>
    <col min="5640" max="5640" width="10.33203125" style="12" bestFit="1" customWidth="1"/>
    <col min="5641" max="5641" width="10.1640625" style="12" customWidth="1"/>
    <col min="5642" max="5642" width="11.5" style="12" customWidth="1"/>
    <col min="5643" max="5643" width="11" style="12" customWidth="1"/>
    <col min="5644" max="5644" width="6.33203125" style="12" customWidth="1"/>
    <col min="5645" max="5645" width="11.33203125" style="12" customWidth="1"/>
    <col min="5646" max="5646" width="14.6640625" style="12" bestFit="1" customWidth="1"/>
    <col min="5647" max="5889" width="8.83203125" style="12"/>
    <col min="5890" max="5890" width="14.5" style="12" customWidth="1"/>
    <col min="5891" max="5891" width="16.5" style="12" customWidth="1"/>
    <col min="5892" max="5892" width="14.5" style="12" customWidth="1"/>
    <col min="5893" max="5895" width="8.83203125" style="12"/>
    <col min="5896" max="5896" width="10.33203125" style="12" bestFit="1" customWidth="1"/>
    <col min="5897" max="5897" width="10.1640625" style="12" customWidth="1"/>
    <col min="5898" max="5898" width="11.5" style="12" customWidth="1"/>
    <col min="5899" max="5899" width="11" style="12" customWidth="1"/>
    <col min="5900" max="5900" width="6.33203125" style="12" customWidth="1"/>
    <col min="5901" max="5901" width="11.33203125" style="12" customWidth="1"/>
    <col min="5902" max="5902" width="14.6640625" style="12" bestFit="1" customWidth="1"/>
    <col min="5903" max="6145" width="8.83203125" style="12"/>
    <col min="6146" max="6146" width="14.5" style="12" customWidth="1"/>
    <col min="6147" max="6147" width="16.5" style="12" customWidth="1"/>
    <col min="6148" max="6148" width="14.5" style="12" customWidth="1"/>
    <col min="6149" max="6151" width="8.83203125" style="12"/>
    <col min="6152" max="6152" width="10.33203125" style="12" bestFit="1" customWidth="1"/>
    <col min="6153" max="6153" width="10.1640625" style="12" customWidth="1"/>
    <col min="6154" max="6154" width="11.5" style="12" customWidth="1"/>
    <col min="6155" max="6155" width="11" style="12" customWidth="1"/>
    <col min="6156" max="6156" width="6.33203125" style="12" customWidth="1"/>
    <col min="6157" max="6157" width="11.33203125" style="12" customWidth="1"/>
    <col min="6158" max="6158" width="14.6640625" style="12" bestFit="1" customWidth="1"/>
    <col min="6159" max="6401" width="8.83203125" style="12"/>
    <col min="6402" max="6402" width="14.5" style="12" customWidth="1"/>
    <col min="6403" max="6403" width="16.5" style="12" customWidth="1"/>
    <col min="6404" max="6404" width="14.5" style="12" customWidth="1"/>
    <col min="6405" max="6407" width="8.83203125" style="12"/>
    <col min="6408" max="6408" width="10.33203125" style="12" bestFit="1" customWidth="1"/>
    <col min="6409" max="6409" width="10.1640625" style="12" customWidth="1"/>
    <col min="6410" max="6410" width="11.5" style="12" customWidth="1"/>
    <col min="6411" max="6411" width="11" style="12" customWidth="1"/>
    <col min="6412" max="6412" width="6.33203125" style="12" customWidth="1"/>
    <col min="6413" max="6413" width="11.33203125" style="12" customWidth="1"/>
    <col min="6414" max="6414" width="14.6640625" style="12" bestFit="1" customWidth="1"/>
    <col min="6415" max="6657" width="8.83203125" style="12"/>
    <col min="6658" max="6658" width="14.5" style="12" customWidth="1"/>
    <col min="6659" max="6659" width="16.5" style="12" customWidth="1"/>
    <col min="6660" max="6660" width="14.5" style="12" customWidth="1"/>
    <col min="6661" max="6663" width="8.83203125" style="12"/>
    <col min="6664" max="6664" width="10.33203125" style="12" bestFit="1" customWidth="1"/>
    <col min="6665" max="6665" width="10.1640625" style="12" customWidth="1"/>
    <col min="6666" max="6666" width="11.5" style="12" customWidth="1"/>
    <col min="6667" max="6667" width="11" style="12" customWidth="1"/>
    <col min="6668" max="6668" width="6.33203125" style="12" customWidth="1"/>
    <col min="6669" max="6669" width="11.33203125" style="12" customWidth="1"/>
    <col min="6670" max="6670" width="14.6640625" style="12" bestFit="1" customWidth="1"/>
    <col min="6671" max="6913" width="8.83203125" style="12"/>
    <col min="6914" max="6914" width="14.5" style="12" customWidth="1"/>
    <col min="6915" max="6915" width="16.5" style="12" customWidth="1"/>
    <col min="6916" max="6916" width="14.5" style="12" customWidth="1"/>
    <col min="6917" max="6919" width="8.83203125" style="12"/>
    <col min="6920" max="6920" width="10.33203125" style="12" bestFit="1" customWidth="1"/>
    <col min="6921" max="6921" width="10.1640625" style="12" customWidth="1"/>
    <col min="6922" max="6922" width="11.5" style="12" customWidth="1"/>
    <col min="6923" max="6923" width="11" style="12" customWidth="1"/>
    <col min="6924" max="6924" width="6.33203125" style="12" customWidth="1"/>
    <col min="6925" max="6925" width="11.33203125" style="12" customWidth="1"/>
    <col min="6926" max="6926" width="14.6640625" style="12" bestFit="1" customWidth="1"/>
    <col min="6927" max="7169" width="8.83203125" style="12"/>
    <col min="7170" max="7170" width="14.5" style="12" customWidth="1"/>
    <col min="7171" max="7171" width="16.5" style="12" customWidth="1"/>
    <col min="7172" max="7172" width="14.5" style="12" customWidth="1"/>
    <col min="7173" max="7175" width="8.83203125" style="12"/>
    <col min="7176" max="7176" width="10.33203125" style="12" bestFit="1" customWidth="1"/>
    <col min="7177" max="7177" width="10.1640625" style="12" customWidth="1"/>
    <col min="7178" max="7178" width="11.5" style="12" customWidth="1"/>
    <col min="7179" max="7179" width="11" style="12" customWidth="1"/>
    <col min="7180" max="7180" width="6.33203125" style="12" customWidth="1"/>
    <col min="7181" max="7181" width="11.33203125" style="12" customWidth="1"/>
    <col min="7182" max="7182" width="14.6640625" style="12" bestFit="1" customWidth="1"/>
    <col min="7183" max="7425" width="8.83203125" style="12"/>
    <col min="7426" max="7426" width="14.5" style="12" customWidth="1"/>
    <col min="7427" max="7427" width="16.5" style="12" customWidth="1"/>
    <col min="7428" max="7428" width="14.5" style="12" customWidth="1"/>
    <col min="7429" max="7431" width="8.83203125" style="12"/>
    <col min="7432" max="7432" width="10.33203125" style="12" bestFit="1" customWidth="1"/>
    <col min="7433" max="7433" width="10.1640625" style="12" customWidth="1"/>
    <col min="7434" max="7434" width="11.5" style="12" customWidth="1"/>
    <col min="7435" max="7435" width="11" style="12" customWidth="1"/>
    <col min="7436" max="7436" width="6.33203125" style="12" customWidth="1"/>
    <col min="7437" max="7437" width="11.33203125" style="12" customWidth="1"/>
    <col min="7438" max="7438" width="14.6640625" style="12" bestFit="1" customWidth="1"/>
    <col min="7439" max="7681" width="8.83203125" style="12"/>
    <col min="7682" max="7682" width="14.5" style="12" customWidth="1"/>
    <col min="7683" max="7683" width="16.5" style="12" customWidth="1"/>
    <col min="7684" max="7684" width="14.5" style="12" customWidth="1"/>
    <col min="7685" max="7687" width="8.83203125" style="12"/>
    <col min="7688" max="7688" width="10.33203125" style="12" bestFit="1" customWidth="1"/>
    <col min="7689" max="7689" width="10.1640625" style="12" customWidth="1"/>
    <col min="7690" max="7690" width="11.5" style="12" customWidth="1"/>
    <col min="7691" max="7691" width="11" style="12" customWidth="1"/>
    <col min="7692" max="7692" width="6.33203125" style="12" customWidth="1"/>
    <col min="7693" max="7693" width="11.33203125" style="12" customWidth="1"/>
    <col min="7694" max="7694" width="14.6640625" style="12" bestFit="1" customWidth="1"/>
    <col min="7695" max="7937" width="8.83203125" style="12"/>
    <col min="7938" max="7938" width="14.5" style="12" customWidth="1"/>
    <col min="7939" max="7939" width="16.5" style="12" customWidth="1"/>
    <col min="7940" max="7940" width="14.5" style="12" customWidth="1"/>
    <col min="7941" max="7943" width="8.83203125" style="12"/>
    <col min="7944" max="7944" width="10.33203125" style="12" bestFit="1" customWidth="1"/>
    <col min="7945" max="7945" width="10.1640625" style="12" customWidth="1"/>
    <col min="7946" max="7946" width="11.5" style="12" customWidth="1"/>
    <col min="7947" max="7947" width="11" style="12" customWidth="1"/>
    <col min="7948" max="7948" width="6.33203125" style="12" customWidth="1"/>
    <col min="7949" max="7949" width="11.33203125" style="12" customWidth="1"/>
    <col min="7950" max="7950" width="14.6640625" style="12" bestFit="1" customWidth="1"/>
    <col min="7951" max="8193" width="8.83203125" style="12"/>
    <col min="8194" max="8194" width="14.5" style="12" customWidth="1"/>
    <col min="8195" max="8195" width="16.5" style="12" customWidth="1"/>
    <col min="8196" max="8196" width="14.5" style="12" customWidth="1"/>
    <col min="8197" max="8199" width="8.83203125" style="12"/>
    <col min="8200" max="8200" width="10.33203125" style="12" bestFit="1" customWidth="1"/>
    <col min="8201" max="8201" width="10.1640625" style="12" customWidth="1"/>
    <col min="8202" max="8202" width="11.5" style="12" customWidth="1"/>
    <col min="8203" max="8203" width="11" style="12" customWidth="1"/>
    <col min="8204" max="8204" width="6.33203125" style="12" customWidth="1"/>
    <col min="8205" max="8205" width="11.33203125" style="12" customWidth="1"/>
    <col min="8206" max="8206" width="14.6640625" style="12" bestFit="1" customWidth="1"/>
    <col min="8207" max="8449" width="8.83203125" style="12"/>
    <col min="8450" max="8450" width="14.5" style="12" customWidth="1"/>
    <col min="8451" max="8451" width="16.5" style="12" customWidth="1"/>
    <col min="8452" max="8452" width="14.5" style="12" customWidth="1"/>
    <col min="8453" max="8455" width="8.83203125" style="12"/>
    <col min="8456" max="8456" width="10.33203125" style="12" bestFit="1" customWidth="1"/>
    <col min="8457" max="8457" width="10.1640625" style="12" customWidth="1"/>
    <col min="8458" max="8458" width="11.5" style="12" customWidth="1"/>
    <col min="8459" max="8459" width="11" style="12" customWidth="1"/>
    <col min="8460" max="8460" width="6.33203125" style="12" customWidth="1"/>
    <col min="8461" max="8461" width="11.33203125" style="12" customWidth="1"/>
    <col min="8462" max="8462" width="14.6640625" style="12" bestFit="1" customWidth="1"/>
    <col min="8463" max="8705" width="8.83203125" style="12"/>
    <col min="8706" max="8706" width="14.5" style="12" customWidth="1"/>
    <col min="8707" max="8707" width="16.5" style="12" customWidth="1"/>
    <col min="8708" max="8708" width="14.5" style="12" customWidth="1"/>
    <col min="8709" max="8711" width="8.83203125" style="12"/>
    <col min="8712" max="8712" width="10.33203125" style="12" bestFit="1" customWidth="1"/>
    <col min="8713" max="8713" width="10.1640625" style="12" customWidth="1"/>
    <col min="8714" max="8714" width="11.5" style="12" customWidth="1"/>
    <col min="8715" max="8715" width="11" style="12" customWidth="1"/>
    <col min="8716" max="8716" width="6.33203125" style="12" customWidth="1"/>
    <col min="8717" max="8717" width="11.33203125" style="12" customWidth="1"/>
    <col min="8718" max="8718" width="14.6640625" style="12" bestFit="1" customWidth="1"/>
    <col min="8719" max="8961" width="8.83203125" style="12"/>
    <col min="8962" max="8962" width="14.5" style="12" customWidth="1"/>
    <col min="8963" max="8963" width="16.5" style="12" customWidth="1"/>
    <col min="8964" max="8964" width="14.5" style="12" customWidth="1"/>
    <col min="8965" max="8967" width="8.83203125" style="12"/>
    <col min="8968" max="8968" width="10.33203125" style="12" bestFit="1" customWidth="1"/>
    <col min="8969" max="8969" width="10.1640625" style="12" customWidth="1"/>
    <col min="8970" max="8970" width="11.5" style="12" customWidth="1"/>
    <col min="8971" max="8971" width="11" style="12" customWidth="1"/>
    <col min="8972" max="8972" width="6.33203125" style="12" customWidth="1"/>
    <col min="8973" max="8973" width="11.33203125" style="12" customWidth="1"/>
    <col min="8974" max="8974" width="14.6640625" style="12" bestFit="1" customWidth="1"/>
    <col min="8975" max="9217" width="8.83203125" style="12"/>
    <col min="9218" max="9218" width="14.5" style="12" customWidth="1"/>
    <col min="9219" max="9219" width="16.5" style="12" customWidth="1"/>
    <col min="9220" max="9220" width="14.5" style="12" customWidth="1"/>
    <col min="9221" max="9223" width="8.83203125" style="12"/>
    <col min="9224" max="9224" width="10.33203125" style="12" bestFit="1" customWidth="1"/>
    <col min="9225" max="9225" width="10.1640625" style="12" customWidth="1"/>
    <col min="9226" max="9226" width="11.5" style="12" customWidth="1"/>
    <col min="9227" max="9227" width="11" style="12" customWidth="1"/>
    <col min="9228" max="9228" width="6.33203125" style="12" customWidth="1"/>
    <col min="9229" max="9229" width="11.33203125" style="12" customWidth="1"/>
    <col min="9230" max="9230" width="14.6640625" style="12" bestFit="1" customWidth="1"/>
    <col min="9231" max="9473" width="8.83203125" style="12"/>
    <col min="9474" max="9474" width="14.5" style="12" customWidth="1"/>
    <col min="9475" max="9475" width="16.5" style="12" customWidth="1"/>
    <col min="9476" max="9476" width="14.5" style="12" customWidth="1"/>
    <col min="9477" max="9479" width="8.83203125" style="12"/>
    <col min="9480" max="9480" width="10.33203125" style="12" bestFit="1" customWidth="1"/>
    <col min="9481" max="9481" width="10.1640625" style="12" customWidth="1"/>
    <col min="9482" max="9482" width="11.5" style="12" customWidth="1"/>
    <col min="9483" max="9483" width="11" style="12" customWidth="1"/>
    <col min="9484" max="9484" width="6.33203125" style="12" customWidth="1"/>
    <col min="9485" max="9485" width="11.33203125" style="12" customWidth="1"/>
    <col min="9486" max="9486" width="14.6640625" style="12" bestFit="1" customWidth="1"/>
    <col min="9487" max="9729" width="8.83203125" style="12"/>
    <col min="9730" max="9730" width="14.5" style="12" customWidth="1"/>
    <col min="9731" max="9731" width="16.5" style="12" customWidth="1"/>
    <col min="9732" max="9732" width="14.5" style="12" customWidth="1"/>
    <col min="9733" max="9735" width="8.83203125" style="12"/>
    <col min="9736" max="9736" width="10.33203125" style="12" bestFit="1" customWidth="1"/>
    <col min="9737" max="9737" width="10.1640625" style="12" customWidth="1"/>
    <col min="9738" max="9738" width="11.5" style="12" customWidth="1"/>
    <col min="9739" max="9739" width="11" style="12" customWidth="1"/>
    <col min="9740" max="9740" width="6.33203125" style="12" customWidth="1"/>
    <col min="9741" max="9741" width="11.33203125" style="12" customWidth="1"/>
    <col min="9742" max="9742" width="14.6640625" style="12" bestFit="1" customWidth="1"/>
    <col min="9743" max="9985" width="8.83203125" style="12"/>
    <col min="9986" max="9986" width="14.5" style="12" customWidth="1"/>
    <col min="9987" max="9987" width="16.5" style="12" customWidth="1"/>
    <col min="9988" max="9988" width="14.5" style="12" customWidth="1"/>
    <col min="9989" max="9991" width="8.83203125" style="12"/>
    <col min="9992" max="9992" width="10.33203125" style="12" bestFit="1" customWidth="1"/>
    <col min="9993" max="9993" width="10.1640625" style="12" customWidth="1"/>
    <col min="9994" max="9994" width="11.5" style="12" customWidth="1"/>
    <col min="9995" max="9995" width="11" style="12" customWidth="1"/>
    <col min="9996" max="9996" width="6.33203125" style="12" customWidth="1"/>
    <col min="9997" max="9997" width="11.33203125" style="12" customWidth="1"/>
    <col min="9998" max="9998" width="14.6640625" style="12" bestFit="1" customWidth="1"/>
    <col min="9999" max="10241" width="8.83203125" style="12"/>
    <col min="10242" max="10242" width="14.5" style="12" customWidth="1"/>
    <col min="10243" max="10243" width="16.5" style="12" customWidth="1"/>
    <col min="10244" max="10244" width="14.5" style="12" customWidth="1"/>
    <col min="10245" max="10247" width="8.83203125" style="12"/>
    <col min="10248" max="10248" width="10.33203125" style="12" bestFit="1" customWidth="1"/>
    <col min="10249" max="10249" width="10.1640625" style="12" customWidth="1"/>
    <col min="10250" max="10250" width="11.5" style="12" customWidth="1"/>
    <col min="10251" max="10251" width="11" style="12" customWidth="1"/>
    <col min="10252" max="10252" width="6.33203125" style="12" customWidth="1"/>
    <col min="10253" max="10253" width="11.33203125" style="12" customWidth="1"/>
    <col min="10254" max="10254" width="14.6640625" style="12" bestFit="1" customWidth="1"/>
    <col min="10255" max="10497" width="8.83203125" style="12"/>
    <col min="10498" max="10498" width="14.5" style="12" customWidth="1"/>
    <col min="10499" max="10499" width="16.5" style="12" customWidth="1"/>
    <col min="10500" max="10500" width="14.5" style="12" customWidth="1"/>
    <col min="10501" max="10503" width="8.83203125" style="12"/>
    <col min="10504" max="10504" width="10.33203125" style="12" bestFit="1" customWidth="1"/>
    <col min="10505" max="10505" width="10.1640625" style="12" customWidth="1"/>
    <col min="10506" max="10506" width="11.5" style="12" customWidth="1"/>
    <col min="10507" max="10507" width="11" style="12" customWidth="1"/>
    <col min="10508" max="10508" width="6.33203125" style="12" customWidth="1"/>
    <col min="10509" max="10509" width="11.33203125" style="12" customWidth="1"/>
    <col min="10510" max="10510" width="14.6640625" style="12" bestFit="1" customWidth="1"/>
    <col min="10511" max="10753" width="8.83203125" style="12"/>
    <col min="10754" max="10754" width="14.5" style="12" customWidth="1"/>
    <col min="10755" max="10755" width="16.5" style="12" customWidth="1"/>
    <col min="10756" max="10756" width="14.5" style="12" customWidth="1"/>
    <col min="10757" max="10759" width="8.83203125" style="12"/>
    <col min="10760" max="10760" width="10.33203125" style="12" bestFit="1" customWidth="1"/>
    <col min="10761" max="10761" width="10.1640625" style="12" customWidth="1"/>
    <col min="10762" max="10762" width="11.5" style="12" customWidth="1"/>
    <col min="10763" max="10763" width="11" style="12" customWidth="1"/>
    <col min="10764" max="10764" width="6.33203125" style="12" customWidth="1"/>
    <col min="10765" max="10765" width="11.33203125" style="12" customWidth="1"/>
    <col min="10766" max="10766" width="14.6640625" style="12" bestFit="1" customWidth="1"/>
    <col min="10767" max="11009" width="8.83203125" style="12"/>
    <col min="11010" max="11010" width="14.5" style="12" customWidth="1"/>
    <col min="11011" max="11011" width="16.5" style="12" customWidth="1"/>
    <col min="11012" max="11012" width="14.5" style="12" customWidth="1"/>
    <col min="11013" max="11015" width="8.83203125" style="12"/>
    <col min="11016" max="11016" width="10.33203125" style="12" bestFit="1" customWidth="1"/>
    <col min="11017" max="11017" width="10.1640625" style="12" customWidth="1"/>
    <col min="11018" max="11018" width="11.5" style="12" customWidth="1"/>
    <col min="11019" max="11019" width="11" style="12" customWidth="1"/>
    <col min="11020" max="11020" width="6.33203125" style="12" customWidth="1"/>
    <col min="11021" max="11021" width="11.33203125" style="12" customWidth="1"/>
    <col min="11022" max="11022" width="14.6640625" style="12" bestFit="1" customWidth="1"/>
    <col min="11023" max="11265" width="8.83203125" style="12"/>
    <col min="11266" max="11266" width="14.5" style="12" customWidth="1"/>
    <col min="11267" max="11267" width="16.5" style="12" customWidth="1"/>
    <col min="11268" max="11268" width="14.5" style="12" customWidth="1"/>
    <col min="11269" max="11271" width="8.83203125" style="12"/>
    <col min="11272" max="11272" width="10.33203125" style="12" bestFit="1" customWidth="1"/>
    <col min="11273" max="11273" width="10.1640625" style="12" customWidth="1"/>
    <col min="11274" max="11274" width="11.5" style="12" customWidth="1"/>
    <col min="11275" max="11275" width="11" style="12" customWidth="1"/>
    <col min="11276" max="11276" width="6.33203125" style="12" customWidth="1"/>
    <col min="11277" max="11277" width="11.33203125" style="12" customWidth="1"/>
    <col min="11278" max="11278" width="14.6640625" style="12" bestFit="1" customWidth="1"/>
    <col min="11279" max="11521" width="8.83203125" style="12"/>
    <col min="11522" max="11522" width="14.5" style="12" customWidth="1"/>
    <col min="11523" max="11523" width="16.5" style="12" customWidth="1"/>
    <col min="11524" max="11524" width="14.5" style="12" customWidth="1"/>
    <col min="11525" max="11527" width="8.83203125" style="12"/>
    <col min="11528" max="11528" width="10.33203125" style="12" bestFit="1" customWidth="1"/>
    <col min="11529" max="11529" width="10.1640625" style="12" customWidth="1"/>
    <col min="11530" max="11530" width="11.5" style="12" customWidth="1"/>
    <col min="11531" max="11531" width="11" style="12" customWidth="1"/>
    <col min="11532" max="11532" width="6.33203125" style="12" customWidth="1"/>
    <col min="11533" max="11533" width="11.33203125" style="12" customWidth="1"/>
    <col min="11534" max="11534" width="14.6640625" style="12" bestFit="1" customWidth="1"/>
    <col min="11535" max="11777" width="8.83203125" style="12"/>
    <col min="11778" max="11778" width="14.5" style="12" customWidth="1"/>
    <col min="11779" max="11779" width="16.5" style="12" customWidth="1"/>
    <col min="11780" max="11780" width="14.5" style="12" customWidth="1"/>
    <col min="11781" max="11783" width="8.83203125" style="12"/>
    <col min="11784" max="11784" width="10.33203125" style="12" bestFit="1" customWidth="1"/>
    <col min="11785" max="11785" width="10.1640625" style="12" customWidth="1"/>
    <col min="11786" max="11786" width="11.5" style="12" customWidth="1"/>
    <col min="11787" max="11787" width="11" style="12" customWidth="1"/>
    <col min="11788" max="11788" width="6.33203125" style="12" customWidth="1"/>
    <col min="11789" max="11789" width="11.33203125" style="12" customWidth="1"/>
    <col min="11790" max="11790" width="14.6640625" style="12" bestFit="1" customWidth="1"/>
    <col min="11791" max="12033" width="8.83203125" style="12"/>
    <col min="12034" max="12034" width="14.5" style="12" customWidth="1"/>
    <col min="12035" max="12035" width="16.5" style="12" customWidth="1"/>
    <col min="12036" max="12036" width="14.5" style="12" customWidth="1"/>
    <col min="12037" max="12039" width="8.83203125" style="12"/>
    <col min="12040" max="12040" width="10.33203125" style="12" bestFit="1" customWidth="1"/>
    <col min="12041" max="12041" width="10.1640625" style="12" customWidth="1"/>
    <col min="12042" max="12042" width="11.5" style="12" customWidth="1"/>
    <col min="12043" max="12043" width="11" style="12" customWidth="1"/>
    <col min="12044" max="12044" width="6.33203125" style="12" customWidth="1"/>
    <col min="12045" max="12045" width="11.33203125" style="12" customWidth="1"/>
    <col min="12046" max="12046" width="14.6640625" style="12" bestFit="1" customWidth="1"/>
    <col min="12047" max="12289" width="8.83203125" style="12"/>
    <col min="12290" max="12290" width="14.5" style="12" customWidth="1"/>
    <col min="12291" max="12291" width="16.5" style="12" customWidth="1"/>
    <col min="12292" max="12292" width="14.5" style="12" customWidth="1"/>
    <col min="12293" max="12295" width="8.83203125" style="12"/>
    <col min="12296" max="12296" width="10.33203125" style="12" bestFit="1" customWidth="1"/>
    <col min="12297" max="12297" width="10.1640625" style="12" customWidth="1"/>
    <col min="12298" max="12298" width="11.5" style="12" customWidth="1"/>
    <col min="12299" max="12299" width="11" style="12" customWidth="1"/>
    <col min="12300" max="12300" width="6.33203125" style="12" customWidth="1"/>
    <col min="12301" max="12301" width="11.33203125" style="12" customWidth="1"/>
    <col min="12302" max="12302" width="14.6640625" style="12" bestFit="1" customWidth="1"/>
    <col min="12303" max="12545" width="8.83203125" style="12"/>
    <col min="12546" max="12546" width="14.5" style="12" customWidth="1"/>
    <col min="12547" max="12547" width="16.5" style="12" customWidth="1"/>
    <col min="12548" max="12548" width="14.5" style="12" customWidth="1"/>
    <col min="12549" max="12551" width="8.83203125" style="12"/>
    <col min="12552" max="12552" width="10.33203125" style="12" bestFit="1" customWidth="1"/>
    <col min="12553" max="12553" width="10.1640625" style="12" customWidth="1"/>
    <col min="12554" max="12554" width="11.5" style="12" customWidth="1"/>
    <col min="12555" max="12555" width="11" style="12" customWidth="1"/>
    <col min="12556" max="12556" width="6.33203125" style="12" customWidth="1"/>
    <col min="12557" max="12557" width="11.33203125" style="12" customWidth="1"/>
    <col min="12558" max="12558" width="14.6640625" style="12" bestFit="1" customWidth="1"/>
    <col min="12559" max="12801" width="8.83203125" style="12"/>
    <col min="12802" max="12802" width="14.5" style="12" customWidth="1"/>
    <col min="12803" max="12803" width="16.5" style="12" customWidth="1"/>
    <col min="12804" max="12804" width="14.5" style="12" customWidth="1"/>
    <col min="12805" max="12807" width="8.83203125" style="12"/>
    <col min="12808" max="12808" width="10.33203125" style="12" bestFit="1" customWidth="1"/>
    <col min="12809" max="12809" width="10.1640625" style="12" customWidth="1"/>
    <col min="12810" max="12810" width="11.5" style="12" customWidth="1"/>
    <col min="12811" max="12811" width="11" style="12" customWidth="1"/>
    <col min="12812" max="12812" width="6.33203125" style="12" customWidth="1"/>
    <col min="12813" max="12813" width="11.33203125" style="12" customWidth="1"/>
    <col min="12814" max="12814" width="14.6640625" style="12" bestFit="1" customWidth="1"/>
    <col min="12815" max="13057" width="8.83203125" style="12"/>
    <col min="13058" max="13058" width="14.5" style="12" customWidth="1"/>
    <col min="13059" max="13059" width="16.5" style="12" customWidth="1"/>
    <col min="13060" max="13060" width="14.5" style="12" customWidth="1"/>
    <col min="13061" max="13063" width="8.83203125" style="12"/>
    <col min="13064" max="13064" width="10.33203125" style="12" bestFit="1" customWidth="1"/>
    <col min="13065" max="13065" width="10.1640625" style="12" customWidth="1"/>
    <col min="13066" max="13066" width="11.5" style="12" customWidth="1"/>
    <col min="13067" max="13067" width="11" style="12" customWidth="1"/>
    <col min="13068" max="13068" width="6.33203125" style="12" customWidth="1"/>
    <col min="13069" max="13069" width="11.33203125" style="12" customWidth="1"/>
    <col min="13070" max="13070" width="14.6640625" style="12" bestFit="1" customWidth="1"/>
    <col min="13071" max="13313" width="8.83203125" style="12"/>
    <col min="13314" max="13314" width="14.5" style="12" customWidth="1"/>
    <col min="13315" max="13315" width="16.5" style="12" customWidth="1"/>
    <col min="13316" max="13316" width="14.5" style="12" customWidth="1"/>
    <col min="13317" max="13319" width="8.83203125" style="12"/>
    <col min="13320" max="13320" width="10.33203125" style="12" bestFit="1" customWidth="1"/>
    <col min="13321" max="13321" width="10.1640625" style="12" customWidth="1"/>
    <col min="13322" max="13322" width="11.5" style="12" customWidth="1"/>
    <col min="13323" max="13323" width="11" style="12" customWidth="1"/>
    <col min="13324" max="13324" width="6.33203125" style="12" customWidth="1"/>
    <col min="13325" max="13325" width="11.33203125" style="12" customWidth="1"/>
    <col min="13326" max="13326" width="14.6640625" style="12" bestFit="1" customWidth="1"/>
    <col min="13327" max="13569" width="8.83203125" style="12"/>
    <col min="13570" max="13570" width="14.5" style="12" customWidth="1"/>
    <col min="13571" max="13571" width="16.5" style="12" customWidth="1"/>
    <col min="13572" max="13572" width="14.5" style="12" customWidth="1"/>
    <col min="13573" max="13575" width="8.83203125" style="12"/>
    <col min="13576" max="13576" width="10.33203125" style="12" bestFit="1" customWidth="1"/>
    <col min="13577" max="13577" width="10.1640625" style="12" customWidth="1"/>
    <col min="13578" max="13578" width="11.5" style="12" customWidth="1"/>
    <col min="13579" max="13579" width="11" style="12" customWidth="1"/>
    <col min="13580" max="13580" width="6.33203125" style="12" customWidth="1"/>
    <col min="13581" max="13581" width="11.33203125" style="12" customWidth="1"/>
    <col min="13582" max="13582" width="14.6640625" style="12" bestFit="1" customWidth="1"/>
    <col min="13583" max="13825" width="8.83203125" style="12"/>
    <col min="13826" max="13826" width="14.5" style="12" customWidth="1"/>
    <col min="13827" max="13827" width="16.5" style="12" customWidth="1"/>
    <col min="13828" max="13828" width="14.5" style="12" customWidth="1"/>
    <col min="13829" max="13831" width="8.83203125" style="12"/>
    <col min="13832" max="13832" width="10.33203125" style="12" bestFit="1" customWidth="1"/>
    <col min="13833" max="13833" width="10.1640625" style="12" customWidth="1"/>
    <col min="13834" max="13834" width="11.5" style="12" customWidth="1"/>
    <col min="13835" max="13835" width="11" style="12" customWidth="1"/>
    <col min="13836" max="13836" width="6.33203125" style="12" customWidth="1"/>
    <col min="13837" max="13837" width="11.33203125" style="12" customWidth="1"/>
    <col min="13838" max="13838" width="14.6640625" style="12" bestFit="1" customWidth="1"/>
    <col min="13839" max="14081" width="8.83203125" style="12"/>
    <col min="14082" max="14082" width="14.5" style="12" customWidth="1"/>
    <col min="14083" max="14083" width="16.5" style="12" customWidth="1"/>
    <col min="14084" max="14084" width="14.5" style="12" customWidth="1"/>
    <col min="14085" max="14087" width="8.83203125" style="12"/>
    <col min="14088" max="14088" width="10.33203125" style="12" bestFit="1" customWidth="1"/>
    <col min="14089" max="14089" width="10.1640625" style="12" customWidth="1"/>
    <col min="14090" max="14090" width="11.5" style="12" customWidth="1"/>
    <col min="14091" max="14091" width="11" style="12" customWidth="1"/>
    <col min="14092" max="14092" width="6.33203125" style="12" customWidth="1"/>
    <col min="14093" max="14093" width="11.33203125" style="12" customWidth="1"/>
    <col min="14094" max="14094" width="14.6640625" style="12" bestFit="1" customWidth="1"/>
    <col min="14095" max="14337" width="8.83203125" style="12"/>
    <col min="14338" max="14338" width="14.5" style="12" customWidth="1"/>
    <col min="14339" max="14339" width="16.5" style="12" customWidth="1"/>
    <col min="14340" max="14340" width="14.5" style="12" customWidth="1"/>
    <col min="14341" max="14343" width="8.83203125" style="12"/>
    <col min="14344" max="14344" width="10.33203125" style="12" bestFit="1" customWidth="1"/>
    <col min="14345" max="14345" width="10.1640625" style="12" customWidth="1"/>
    <col min="14346" max="14346" width="11.5" style="12" customWidth="1"/>
    <col min="14347" max="14347" width="11" style="12" customWidth="1"/>
    <col min="14348" max="14348" width="6.33203125" style="12" customWidth="1"/>
    <col min="14349" max="14349" width="11.33203125" style="12" customWidth="1"/>
    <col min="14350" max="14350" width="14.6640625" style="12" bestFit="1" customWidth="1"/>
    <col min="14351" max="14593" width="8.83203125" style="12"/>
    <col min="14594" max="14594" width="14.5" style="12" customWidth="1"/>
    <col min="14595" max="14595" width="16.5" style="12" customWidth="1"/>
    <col min="14596" max="14596" width="14.5" style="12" customWidth="1"/>
    <col min="14597" max="14599" width="8.83203125" style="12"/>
    <col min="14600" max="14600" width="10.33203125" style="12" bestFit="1" customWidth="1"/>
    <col min="14601" max="14601" width="10.1640625" style="12" customWidth="1"/>
    <col min="14602" max="14602" width="11.5" style="12" customWidth="1"/>
    <col min="14603" max="14603" width="11" style="12" customWidth="1"/>
    <col min="14604" max="14604" width="6.33203125" style="12" customWidth="1"/>
    <col min="14605" max="14605" width="11.33203125" style="12" customWidth="1"/>
    <col min="14606" max="14606" width="14.6640625" style="12" bestFit="1" customWidth="1"/>
    <col min="14607" max="14849" width="8.83203125" style="12"/>
    <col min="14850" max="14850" width="14.5" style="12" customWidth="1"/>
    <col min="14851" max="14851" width="16.5" style="12" customWidth="1"/>
    <col min="14852" max="14852" width="14.5" style="12" customWidth="1"/>
    <col min="14853" max="14855" width="8.83203125" style="12"/>
    <col min="14856" max="14856" width="10.33203125" style="12" bestFit="1" customWidth="1"/>
    <col min="14857" max="14857" width="10.1640625" style="12" customWidth="1"/>
    <col min="14858" max="14858" width="11.5" style="12" customWidth="1"/>
    <col min="14859" max="14859" width="11" style="12" customWidth="1"/>
    <col min="14860" max="14860" width="6.33203125" style="12" customWidth="1"/>
    <col min="14861" max="14861" width="11.33203125" style="12" customWidth="1"/>
    <col min="14862" max="14862" width="14.6640625" style="12" bestFit="1" customWidth="1"/>
    <col min="14863" max="15105" width="8.83203125" style="12"/>
    <col min="15106" max="15106" width="14.5" style="12" customWidth="1"/>
    <col min="15107" max="15107" width="16.5" style="12" customWidth="1"/>
    <col min="15108" max="15108" width="14.5" style="12" customWidth="1"/>
    <col min="15109" max="15111" width="8.83203125" style="12"/>
    <col min="15112" max="15112" width="10.33203125" style="12" bestFit="1" customWidth="1"/>
    <col min="15113" max="15113" width="10.1640625" style="12" customWidth="1"/>
    <col min="15114" max="15114" width="11.5" style="12" customWidth="1"/>
    <col min="15115" max="15115" width="11" style="12" customWidth="1"/>
    <col min="15116" max="15116" width="6.33203125" style="12" customWidth="1"/>
    <col min="15117" max="15117" width="11.33203125" style="12" customWidth="1"/>
    <col min="15118" max="15118" width="14.6640625" style="12" bestFit="1" customWidth="1"/>
    <col min="15119" max="15361" width="8.83203125" style="12"/>
    <col min="15362" max="15362" width="14.5" style="12" customWidth="1"/>
    <col min="15363" max="15363" width="16.5" style="12" customWidth="1"/>
    <col min="15364" max="15364" width="14.5" style="12" customWidth="1"/>
    <col min="15365" max="15367" width="8.83203125" style="12"/>
    <col min="15368" max="15368" width="10.33203125" style="12" bestFit="1" customWidth="1"/>
    <col min="15369" max="15369" width="10.1640625" style="12" customWidth="1"/>
    <col min="15370" max="15370" width="11.5" style="12" customWidth="1"/>
    <col min="15371" max="15371" width="11" style="12" customWidth="1"/>
    <col min="15372" max="15372" width="6.33203125" style="12" customWidth="1"/>
    <col min="15373" max="15373" width="11.33203125" style="12" customWidth="1"/>
    <col min="15374" max="15374" width="14.6640625" style="12" bestFit="1" customWidth="1"/>
    <col min="15375" max="15617" width="8.83203125" style="12"/>
    <col min="15618" max="15618" width="14.5" style="12" customWidth="1"/>
    <col min="15619" max="15619" width="16.5" style="12" customWidth="1"/>
    <col min="15620" max="15620" width="14.5" style="12" customWidth="1"/>
    <col min="15621" max="15623" width="8.83203125" style="12"/>
    <col min="15624" max="15624" width="10.33203125" style="12" bestFit="1" customWidth="1"/>
    <col min="15625" max="15625" width="10.1640625" style="12" customWidth="1"/>
    <col min="15626" max="15626" width="11.5" style="12" customWidth="1"/>
    <col min="15627" max="15627" width="11" style="12" customWidth="1"/>
    <col min="15628" max="15628" width="6.33203125" style="12" customWidth="1"/>
    <col min="15629" max="15629" width="11.33203125" style="12" customWidth="1"/>
    <col min="15630" max="15630" width="14.6640625" style="12" bestFit="1" customWidth="1"/>
    <col min="15631" max="15873" width="8.83203125" style="12"/>
    <col min="15874" max="15874" width="14.5" style="12" customWidth="1"/>
    <col min="15875" max="15875" width="16.5" style="12" customWidth="1"/>
    <col min="15876" max="15876" width="14.5" style="12" customWidth="1"/>
    <col min="15877" max="15879" width="8.83203125" style="12"/>
    <col min="15880" max="15880" width="10.33203125" style="12" bestFit="1" customWidth="1"/>
    <col min="15881" max="15881" width="10.1640625" style="12" customWidth="1"/>
    <col min="15882" max="15882" width="11.5" style="12" customWidth="1"/>
    <col min="15883" max="15883" width="11" style="12" customWidth="1"/>
    <col min="15884" max="15884" width="6.33203125" style="12" customWidth="1"/>
    <col min="15885" max="15885" width="11.33203125" style="12" customWidth="1"/>
    <col min="15886" max="15886" width="14.6640625" style="12" bestFit="1" customWidth="1"/>
    <col min="15887" max="16129" width="8.83203125" style="12"/>
    <col min="16130" max="16130" width="14.5" style="12" customWidth="1"/>
    <col min="16131" max="16131" width="16.5" style="12" customWidth="1"/>
    <col min="16132" max="16132" width="14.5" style="12" customWidth="1"/>
    <col min="16133" max="16135" width="8.83203125" style="12"/>
    <col min="16136" max="16136" width="10.33203125" style="12" bestFit="1" customWidth="1"/>
    <col min="16137" max="16137" width="10.1640625" style="12" customWidth="1"/>
    <col min="16138" max="16138" width="11.5" style="12" customWidth="1"/>
    <col min="16139" max="16139" width="11" style="12" customWidth="1"/>
    <col min="16140" max="16140" width="6.33203125" style="12" customWidth="1"/>
    <col min="16141" max="16141" width="11.33203125" style="12" customWidth="1"/>
    <col min="16142" max="16142" width="14.6640625" style="12" bestFit="1" customWidth="1"/>
    <col min="16143" max="16384" width="8.83203125" style="12"/>
  </cols>
  <sheetData>
    <row r="1" spans="1:29" x14ac:dyDescent="0.15">
      <c r="A1" s="20" t="s">
        <v>69</v>
      </c>
    </row>
    <row r="2" spans="1:29" ht="28" x14ac:dyDescent="0.15">
      <c r="A2" s="1" t="s">
        <v>13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4" t="s">
        <v>14</v>
      </c>
      <c r="H2" s="2" t="s">
        <v>123</v>
      </c>
      <c r="I2" s="4" t="s">
        <v>8</v>
      </c>
      <c r="J2" s="4" t="s">
        <v>17</v>
      </c>
      <c r="K2" s="4" t="s">
        <v>9</v>
      </c>
      <c r="L2" s="4" t="s">
        <v>12</v>
      </c>
      <c r="M2" s="4" t="s">
        <v>10</v>
      </c>
      <c r="N2" s="4" t="s">
        <v>11</v>
      </c>
      <c r="P2" s="1" t="s">
        <v>13</v>
      </c>
      <c r="Q2" s="6" t="s">
        <v>3</v>
      </c>
      <c r="R2" s="6" t="s">
        <v>4</v>
      </c>
      <c r="S2" s="6" t="s">
        <v>5</v>
      </c>
      <c r="T2" s="6" t="s">
        <v>6</v>
      </c>
      <c r="U2" s="6" t="s">
        <v>7</v>
      </c>
      <c r="V2" s="4" t="s">
        <v>14</v>
      </c>
      <c r="W2" s="2" t="s">
        <v>123</v>
      </c>
      <c r="X2" s="4" t="s">
        <v>8</v>
      </c>
      <c r="Y2" s="4" t="s">
        <v>17</v>
      </c>
      <c r="Z2" s="4" t="s">
        <v>9</v>
      </c>
      <c r="AA2" s="4" t="s">
        <v>12</v>
      </c>
      <c r="AB2" s="4" t="s">
        <v>10</v>
      </c>
      <c r="AC2" s="4" t="s">
        <v>11</v>
      </c>
    </row>
    <row r="3" spans="1:29" ht="15.75" customHeight="1" x14ac:dyDescent="0.15">
      <c r="A3" s="125" t="str">
        <f>P3</f>
        <v>2020-10</v>
      </c>
      <c r="B3" s="124">
        <f>Q3/1000000</f>
        <v>2.4103530000000002</v>
      </c>
      <c r="C3" s="124">
        <f t="shared" ref="C3:C14" si="0">R3/1000000</f>
        <v>2.6889889999999999</v>
      </c>
      <c r="D3" s="124">
        <f t="shared" ref="D3:D14" si="1">S3/1000000</f>
        <v>28.962717999999999</v>
      </c>
      <c r="E3" s="124">
        <f t="shared" ref="E3:E14" si="2">T3/1000000</f>
        <v>36.010511000000001</v>
      </c>
      <c r="F3" s="124">
        <f t="shared" ref="F3:F14" si="3">U3/1000000</f>
        <v>0.78548200000000001</v>
      </c>
      <c r="G3" s="124">
        <f t="shared" ref="G3:G14" si="4">V3/1000000</f>
        <v>18.409200999999999</v>
      </c>
      <c r="H3" s="124">
        <f t="shared" ref="H3:H14" si="5">W3/1000000</f>
        <v>46.456831000000001</v>
      </c>
      <c r="I3" s="124">
        <f t="shared" ref="I3:I14" si="6">X3/1000000</f>
        <v>4.3031550000000003</v>
      </c>
      <c r="J3" s="124">
        <f t="shared" ref="J3:J14" si="7">Y3/1000000</f>
        <v>4.7245359999999996</v>
      </c>
      <c r="K3" s="124">
        <f t="shared" ref="K3:K14" si="8">Z3/1000000</f>
        <v>3.4464570000000001</v>
      </c>
      <c r="L3" s="124">
        <f t="shared" ref="L3:L14" si="9">AA3/1000000</f>
        <v>5.2237650000000002</v>
      </c>
      <c r="M3" s="124">
        <f t="shared" ref="M3:M14" si="10">AB3/1000000</f>
        <v>0.14257700000000001</v>
      </c>
      <c r="N3" s="124">
        <f t="shared" ref="N3:N15" si="11">SUM(B3:M3)</f>
        <v>153.56457500000002</v>
      </c>
      <c r="P3" s="287" t="s">
        <v>175</v>
      </c>
      <c r="Q3" s="288">
        <v>2410353</v>
      </c>
      <c r="R3" s="288">
        <v>2688989</v>
      </c>
      <c r="S3" s="288">
        <v>28962718</v>
      </c>
      <c r="T3" s="288">
        <v>36010511</v>
      </c>
      <c r="U3" s="288">
        <v>785482</v>
      </c>
      <c r="V3" s="288">
        <v>18409201</v>
      </c>
      <c r="W3" s="288">
        <v>46456831</v>
      </c>
      <c r="X3" s="288">
        <v>4303155</v>
      </c>
      <c r="Y3" s="288">
        <v>4724536</v>
      </c>
      <c r="Z3" s="288">
        <v>3446457</v>
      </c>
      <c r="AA3" s="288">
        <v>5223765</v>
      </c>
      <c r="AB3" s="288">
        <v>142577</v>
      </c>
      <c r="AC3" s="146">
        <f t="shared" ref="AC3:AC14" si="12">SUM(Q3:AB3)</f>
        <v>153564575</v>
      </c>
    </row>
    <row r="4" spans="1:29" x14ac:dyDescent="0.15">
      <c r="A4" s="125" t="str">
        <f t="shared" ref="A4:A14" si="13">P4</f>
        <v>2020-11</v>
      </c>
      <c r="B4" s="124">
        <f t="shared" ref="B4:B14" si="14">Q4/1000000</f>
        <v>2.2809279999999998</v>
      </c>
      <c r="C4" s="124">
        <f t="shared" si="0"/>
        <v>2.9115030000000002</v>
      </c>
      <c r="D4" s="124">
        <f t="shared" si="1"/>
        <v>15.928888000000001</v>
      </c>
      <c r="E4" s="124">
        <f t="shared" si="2"/>
        <v>36.213571000000002</v>
      </c>
      <c r="F4" s="124">
        <f t="shared" si="3"/>
        <v>3.281177</v>
      </c>
      <c r="G4" s="124">
        <f t="shared" si="4"/>
        <v>21.225963</v>
      </c>
      <c r="H4" s="124">
        <f t="shared" si="5"/>
        <v>41.191198999999997</v>
      </c>
      <c r="I4" s="124">
        <f t="shared" si="6"/>
        <v>3.5458639999999999</v>
      </c>
      <c r="J4" s="124">
        <f t="shared" si="7"/>
        <v>4.0687610000000003</v>
      </c>
      <c r="K4" s="124">
        <f t="shared" si="8"/>
        <v>2.1115370000000002</v>
      </c>
      <c r="L4" s="124">
        <f t="shared" si="9"/>
        <v>6.3153420000000002</v>
      </c>
      <c r="M4" s="124">
        <f t="shared" si="10"/>
        <v>0.11365</v>
      </c>
      <c r="N4" s="124">
        <f t="shared" si="11"/>
        <v>139.18838299999999</v>
      </c>
      <c r="P4" s="287" t="s">
        <v>176</v>
      </c>
      <c r="Q4" s="288">
        <v>2280928</v>
      </c>
      <c r="R4" s="288">
        <v>2911503</v>
      </c>
      <c r="S4" s="288">
        <v>15928888</v>
      </c>
      <c r="T4" s="288">
        <v>36213571</v>
      </c>
      <c r="U4" s="288">
        <v>3281177</v>
      </c>
      <c r="V4" s="288">
        <v>21225963</v>
      </c>
      <c r="W4" s="288">
        <v>41191199</v>
      </c>
      <c r="X4" s="288">
        <v>3545864</v>
      </c>
      <c r="Y4" s="288">
        <v>4068761</v>
      </c>
      <c r="Z4" s="288">
        <v>2111537</v>
      </c>
      <c r="AA4" s="288">
        <v>6315342</v>
      </c>
      <c r="AB4" s="288">
        <v>113650</v>
      </c>
      <c r="AC4" s="146">
        <f t="shared" si="12"/>
        <v>139188383</v>
      </c>
    </row>
    <row r="5" spans="1:29" x14ac:dyDescent="0.15">
      <c r="A5" s="125" t="str">
        <f t="shared" si="13"/>
        <v>2020-12</v>
      </c>
      <c r="B5" s="124">
        <f t="shared" si="14"/>
        <v>2.421637</v>
      </c>
      <c r="C5" s="124">
        <f t="shared" si="0"/>
        <v>2.5978370000000002</v>
      </c>
      <c r="D5" s="124">
        <f t="shared" si="1"/>
        <v>18.270334999999999</v>
      </c>
      <c r="E5" s="124">
        <f t="shared" si="2"/>
        <v>38.765324999999997</v>
      </c>
      <c r="F5" s="124">
        <f t="shared" si="3"/>
        <v>1.2878909999999999</v>
      </c>
      <c r="G5" s="124">
        <f t="shared" si="4"/>
        <v>19.317978</v>
      </c>
      <c r="H5" s="124">
        <f t="shared" si="5"/>
        <v>38.376634000000003</v>
      </c>
      <c r="I5" s="124">
        <f t="shared" si="6"/>
        <v>5.6652089999999999</v>
      </c>
      <c r="J5" s="124">
        <f t="shared" si="7"/>
        <v>3.0027900000000001</v>
      </c>
      <c r="K5" s="124">
        <f t="shared" si="8"/>
        <v>4.6596690000000001</v>
      </c>
      <c r="L5" s="124">
        <f t="shared" si="9"/>
        <v>6.6446160000000001</v>
      </c>
      <c r="M5" s="124">
        <f t="shared" si="10"/>
        <v>8.5616999999999999E-2</v>
      </c>
      <c r="N5" s="124">
        <f t="shared" si="11"/>
        <v>141.09553800000003</v>
      </c>
      <c r="P5" s="287" t="s">
        <v>177</v>
      </c>
      <c r="Q5" s="288">
        <v>2421637</v>
      </c>
      <c r="R5" s="288">
        <v>2597837</v>
      </c>
      <c r="S5" s="288">
        <v>18270335</v>
      </c>
      <c r="T5" s="288">
        <v>38765325</v>
      </c>
      <c r="U5" s="288">
        <v>1287891</v>
      </c>
      <c r="V5" s="288">
        <v>19317978</v>
      </c>
      <c r="W5" s="288">
        <v>38376634</v>
      </c>
      <c r="X5" s="288">
        <v>5665209</v>
      </c>
      <c r="Y5" s="288">
        <v>3002790</v>
      </c>
      <c r="Z5" s="288">
        <v>4659669</v>
      </c>
      <c r="AA5" s="288">
        <v>6644616</v>
      </c>
      <c r="AB5" s="288">
        <v>85617</v>
      </c>
      <c r="AC5" s="146">
        <f t="shared" si="12"/>
        <v>141095538</v>
      </c>
    </row>
    <row r="6" spans="1:29" x14ac:dyDescent="0.15">
      <c r="A6" s="125" t="str">
        <f t="shared" si="13"/>
        <v>2021-01</v>
      </c>
      <c r="B6" s="124">
        <f t="shared" si="14"/>
        <v>2.7187589999999999</v>
      </c>
      <c r="C6" s="124">
        <f t="shared" si="0"/>
        <v>2.5298850000000002</v>
      </c>
      <c r="D6" s="124">
        <f t="shared" si="1"/>
        <v>19.079090000000001</v>
      </c>
      <c r="E6" s="124">
        <f t="shared" si="2"/>
        <v>36.610211999999997</v>
      </c>
      <c r="F6" s="124">
        <f t="shared" si="3"/>
        <v>1.960059</v>
      </c>
      <c r="G6" s="124">
        <f t="shared" si="4"/>
        <v>20.334716</v>
      </c>
      <c r="H6" s="124">
        <f t="shared" si="5"/>
        <v>42.908171000000003</v>
      </c>
      <c r="I6" s="124">
        <f t="shared" si="6"/>
        <v>5.829561</v>
      </c>
      <c r="J6" s="124">
        <f t="shared" si="7"/>
        <v>4.5781780000000003</v>
      </c>
      <c r="K6" s="124">
        <f t="shared" si="8"/>
        <v>3.185009</v>
      </c>
      <c r="L6" s="124">
        <f t="shared" si="9"/>
        <v>6.1094030000000004</v>
      </c>
      <c r="M6" s="124">
        <f t="shared" si="10"/>
        <v>8.2419000000000006E-2</v>
      </c>
      <c r="N6" s="124">
        <f t="shared" si="11"/>
        <v>145.92546200000001</v>
      </c>
      <c r="P6" s="287" t="s">
        <v>178</v>
      </c>
      <c r="Q6" s="288">
        <v>2718759</v>
      </c>
      <c r="R6" s="288">
        <v>2529885</v>
      </c>
      <c r="S6" s="288">
        <v>19079090</v>
      </c>
      <c r="T6" s="288">
        <v>36610212</v>
      </c>
      <c r="U6" s="288">
        <v>1960059</v>
      </c>
      <c r="V6" s="288">
        <v>20334716</v>
      </c>
      <c r="W6" s="288">
        <v>42908171</v>
      </c>
      <c r="X6" s="288">
        <v>5829561</v>
      </c>
      <c r="Y6" s="288">
        <v>4578178</v>
      </c>
      <c r="Z6" s="288">
        <v>3185009</v>
      </c>
      <c r="AA6" s="288">
        <v>6109403</v>
      </c>
      <c r="AB6" s="288">
        <v>82419</v>
      </c>
      <c r="AC6" s="146">
        <f t="shared" si="12"/>
        <v>145925462</v>
      </c>
    </row>
    <row r="7" spans="1:29" x14ac:dyDescent="0.15">
      <c r="A7" s="125" t="str">
        <f t="shared" si="13"/>
        <v>2021-02</v>
      </c>
      <c r="B7" s="124">
        <f t="shared" si="14"/>
        <v>1.512194</v>
      </c>
      <c r="C7" s="124">
        <f t="shared" si="0"/>
        <v>2.2648320000000002</v>
      </c>
      <c r="D7" s="124">
        <f t="shared" si="1"/>
        <v>18.134630999999999</v>
      </c>
      <c r="E7" s="124">
        <f t="shared" si="2"/>
        <v>35.513553000000002</v>
      </c>
      <c r="F7" s="124">
        <f t="shared" si="3"/>
        <v>1.162056</v>
      </c>
      <c r="G7" s="124">
        <f t="shared" si="4"/>
        <v>17.328862999999998</v>
      </c>
      <c r="H7" s="124">
        <f t="shared" si="5"/>
        <v>34.967697000000001</v>
      </c>
      <c r="I7" s="124">
        <f t="shared" si="6"/>
        <v>6.8442040000000004</v>
      </c>
      <c r="J7" s="124">
        <f t="shared" si="7"/>
        <v>3.9138269999999999</v>
      </c>
      <c r="K7" s="124">
        <f t="shared" si="8"/>
        <v>5.8096290000000002</v>
      </c>
      <c r="L7" s="124">
        <f t="shared" si="9"/>
        <v>14.029045</v>
      </c>
      <c r="M7" s="124">
        <f t="shared" si="10"/>
        <v>8.6785000000000001E-2</v>
      </c>
      <c r="N7" s="124">
        <f t="shared" si="11"/>
        <v>141.56731600000001</v>
      </c>
      <c r="P7" s="287" t="s">
        <v>179</v>
      </c>
      <c r="Q7" s="288">
        <v>1512194</v>
      </c>
      <c r="R7" s="288">
        <v>2264832</v>
      </c>
      <c r="S7" s="288">
        <v>18134631</v>
      </c>
      <c r="T7" s="288">
        <v>35513553</v>
      </c>
      <c r="U7" s="288">
        <v>1162056</v>
      </c>
      <c r="V7" s="288">
        <v>17328863</v>
      </c>
      <c r="W7" s="288">
        <v>34967697</v>
      </c>
      <c r="X7" s="288">
        <v>6844204</v>
      </c>
      <c r="Y7" s="288">
        <v>3913827</v>
      </c>
      <c r="Z7" s="288">
        <v>5809629</v>
      </c>
      <c r="AA7" s="288">
        <v>14029045</v>
      </c>
      <c r="AB7" s="288">
        <v>86785</v>
      </c>
      <c r="AC7" s="146">
        <f t="shared" si="12"/>
        <v>141567316</v>
      </c>
    </row>
    <row r="8" spans="1:29" x14ac:dyDescent="0.15">
      <c r="A8" s="125" t="str">
        <f t="shared" si="13"/>
        <v>2021-03</v>
      </c>
      <c r="B8" s="124">
        <f t="shared" si="14"/>
        <v>1.995125</v>
      </c>
      <c r="C8" s="124">
        <f t="shared" si="0"/>
        <v>2.3777810000000001</v>
      </c>
      <c r="D8" s="124">
        <f t="shared" si="1"/>
        <v>24.833285</v>
      </c>
      <c r="E8" s="124">
        <f t="shared" si="2"/>
        <v>50.977989999999998</v>
      </c>
      <c r="F8" s="124">
        <f t="shared" si="3"/>
        <v>0.77299200000000001</v>
      </c>
      <c r="G8" s="124">
        <f t="shared" si="4"/>
        <v>25.563552999999999</v>
      </c>
      <c r="H8" s="124">
        <f t="shared" si="5"/>
        <v>47.31823</v>
      </c>
      <c r="I8" s="124">
        <f t="shared" si="6"/>
        <v>4.451435</v>
      </c>
      <c r="J8" s="124">
        <f t="shared" si="7"/>
        <v>3.7877730000000001</v>
      </c>
      <c r="K8" s="124">
        <f t="shared" si="8"/>
        <v>7.920928</v>
      </c>
      <c r="L8" s="124">
        <f t="shared" si="9"/>
        <v>7.3932640000000003</v>
      </c>
      <c r="M8" s="124">
        <f t="shared" si="10"/>
        <v>0.189832</v>
      </c>
      <c r="N8" s="124">
        <f t="shared" si="11"/>
        <v>177.58218799999997</v>
      </c>
      <c r="P8" s="287" t="s">
        <v>180</v>
      </c>
      <c r="Q8" s="288">
        <v>1995125</v>
      </c>
      <c r="R8" s="288">
        <v>2377781</v>
      </c>
      <c r="S8" s="288">
        <v>24833285</v>
      </c>
      <c r="T8" s="288">
        <v>50977990</v>
      </c>
      <c r="U8" s="288">
        <v>772992</v>
      </c>
      <c r="V8" s="288">
        <v>25563553</v>
      </c>
      <c r="W8" s="288">
        <v>47318230</v>
      </c>
      <c r="X8" s="288">
        <v>4451435</v>
      </c>
      <c r="Y8" s="288">
        <v>3787773</v>
      </c>
      <c r="Z8" s="288">
        <v>7920928</v>
      </c>
      <c r="AA8" s="288">
        <v>7393264</v>
      </c>
      <c r="AB8" s="288">
        <v>189832</v>
      </c>
      <c r="AC8" s="146">
        <f t="shared" si="12"/>
        <v>177582188</v>
      </c>
    </row>
    <row r="9" spans="1:29" x14ac:dyDescent="0.15">
      <c r="A9" s="125" t="str">
        <f t="shared" si="13"/>
        <v>2021-04</v>
      </c>
      <c r="B9" s="124">
        <f t="shared" si="14"/>
        <v>1.5301370000000001</v>
      </c>
      <c r="C9" s="124">
        <f t="shared" si="0"/>
        <v>3.0869430000000002</v>
      </c>
      <c r="D9" s="124">
        <f t="shared" si="1"/>
        <v>25.225304999999999</v>
      </c>
      <c r="E9" s="124">
        <f t="shared" si="2"/>
        <v>53.598827999999997</v>
      </c>
      <c r="F9" s="124">
        <f t="shared" si="3"/>
        <v>0.86828499999999997</v>
      </c>
      <c r="G9" s="124">
        <f t="shared" si="4"/>
        <v>25.102391999999998</v>
      </c>
      <c r="H9" s="124">
        <f t="shared" si="5"/>
        <v>46.412793000000001</v>
      </c>
      <c r="I9" s="124">
        <f t="shared" si="6"/>
        <v>5.9687229999999998</v>
      </c>
      <c r="J9" s="124">
        <f t="shared" si="7"/>
        <v>3.7959779999999999</v>
      </c>
      <c r="K9" s="124">
        <f t="shared" si="8"/>
        <v>5.5506070000000003</v>
      </c>
      <c r="L9" s="124">
        <f t="shared" si="9"/>
        <v>4.4403810000000004</v>
      </c>
      <c r="M9" s="124">
        <f t="shared" si="10"/>
        <v>0.10999100000000001</v>
      </c>
      <c r="N9" s="124">
        <f t="shared" si="11"/>
        <v>175.69036300000002</v>
      </c>
      <c r="P9" s="287" t="s">
        <v>181</v>
      </c>
      <c r="Q9" s="288">
        <v>1530137</v>
      </c>
      <c r="R9" s="288">
        <v>3086943</v>
      </c>
      <c r="S9" s="288">
        <v>25225305</v>
      </c>
      <c r="T9" s="288">
        <v>53598828</v>
      </c>
      <c r="U9" s="288">
        <v>868285</v>
      </c>
      <c r="V9" s="288">
        <v>25102392</v>
      </c>
      <c r="W9" s="288">
        <v>46412793</v>
      </c>
      <c r="X9" s="288">
        <v>5968723</v>
      </c>
      <c r="Y9" s="288">
        <v>3795978</v>
      </c>
      <c r="Z9" s="288">
        <v>5550607</v>
      </c>
      <c r="AA9" s="288">
        <v>4440381</v>
      </c>
      <c r="AB9" s="288">
        <v>109991</v>
      </c>
      <c r="AC9" s="146">
        <f t="shared" si="12"/>
        <v>175690363</v>
      </c>
    </row>
    <row r="10" spans="1:29" x14ac:dyDescent="0.15">
      <c r="A10" s="125" t="str">
        <f t="shared" si="13"/>
        <v>2021-05</v>
      </c>
      <c r="B10" s="124">
        <f t="shared" si="14"/>
        <v>2.1123059999999998</v>
      </c>
      <c r="C10" s="124">
        <f t="shared" si="0"/>
        <v>4.0487460000000004</v>
      </c>
      <c r="D10" s="124">
        <f t="shared" si="1"/>
        <v>19.082208000000001</v>
      </c>
      <c r="E10" s="124">
        <f t="shared" si="2"/>
        <v>44.585993999999999</v>
      </c>
      <c r="F10" s="124">
        <f t="shared" si="3"/>
        <v>0.84829100000000002</v>
      </c>
      <c r="G10" s="124">
        <f t="shared" si="4"/>
        <v>20.604748000000001</v>
      </c>
      <c r="H10" s="124">
        <f t="shared" si="5"/>
        <v>47.113976000000001</v>
      </c>
      <c r="I10" s="124">
        <f t="shared" si="6"/>
        <v>7.2934700000000001</v>
      </c>
      <c r="J10" s="124">
        <f t="shared" si="7"/>
        <v>3.3455119999999998</v>
      </c>
      <c r="K10" s="124">
        <f t="shared" si="8"/>
        <v>10.998825999999999</v>
      </c>
      <c r="L10" s="124">
        <f t="shared" si="9"/>
        <v>5.640441</v>
      </c>
      <c r="M10" s="124">
        <f t="shared" si="10"/>
        <v>0.10988100000000001</v>
      </c>
      <c r="N10" s="124">
        <f t="shared" si="11"/>
        <v>165.78439900000004</v>
      </c>
      <c r="P10" s="287" t="s">
        <v>182</v>
      </c>
      <c r="Q10" s="288">
        <v>2112306</v>
      </c>
      <c r="R10" s="288">
        <v>4048746</v>
      </c>
      <c r="S10" s="288">
        <v>19082208</v>
      </c>
      <c r="T10" s="288">
        <v>44585994</v>
      </c>
      <c r="U10" s="288">
        <v>848291</v>
      </c>
      <c r="V10" s="288">
        <v>20604748</v>
      </c>
      <c r="W10" s="288">
        <v>47113976</v>
      </c>
      <c r="X10" s="288">
        <v>7293470</v>
      </c>
      <c r="Y10" s="288">
        <v>3345512</v>
      </c>
      <c r="Z10" s="288">
        <v>10998826</v>
      </c>
      <c r="AA10" s="288">
        <v>5640441</v>
      </c>
      <c r="AB10" s="288">
        <v>109881</v>
      </c>
      <c r="AC10" s="146">
        <f t="shared" si="12"/>
        <v>165784399</v>
      </c>
    </row>
    <row r="11" spans="1:29" x14ac:dyDescent="0.15">
      <c r="A11" s="125" t="str">
        <f t="shared" si="13"/>
        <v>2021-06</v>
      </c>
      <c r="B11" s="124">
        <f t="shared" si="14"/>
        <v>1.467373</v>
      </c>
      <c r="C11" s="124">
        <f t="shared" si="0"/>
        <v>3.4866489999999999</v>
      </c>
      <c r="D11" s="124">
        <f t="shared" si="1"/>
        <v>22.611597</v>
      </c>
      <c r="E11" s="124">
        <f t="shared" si="2"/>
        <v>36.986136999999999</v>
      </c>
      <c r="F11" s="124">
        <f t="shared" si="3"/>
        <v>0.77960200000000002</v>
      </c>
      <c r="G11" s="124">
        <f t="shared" si="4"/>
        <v>23.136533</v>
      </c>
      <c r="H11" s="124">
        <f t="shared" si="5"/>
        <v>44.862761999999996</v>
      </c>
      <c r="I11" s="124">
        <f t="shared" si="6"/>
        <v>6.4356369999999998</v>
      </c>
      <c r="J11" s="124">
        <f t="shared" si="7"/>
        <v>3.2690359999999998</v>
      </c>
      <c r="K11" s="124">
        <f t="shared" si="8"/>
        <v>4.5650810000000002</v>
      </c>
      <c r="L11" s="124">
        <f t="shared" si="9"/>
        <v>5.3334809999999999</v>
      </c>
      <c r="M11" s="124">
        <f t="shared" si="10"/>
        <v>0.10272000000000001</v>
      </c>
      <c r="N11" s="124">
        <f t="shared" si="11"/>
        <v>153.03660799999997</v>
      </c>
      <c r="P11" s="287" t="s">
        <v>183</v>
      </c>
      <c r="Q11" s="288">
        <v>1467373</v>
      </c>
      <c r="R11" s="288">
        <v>3486649</v>
      </c>
      <c r="S11" s="288">
        <v>22611597</v>
      </c>
      <c r="T11" s="288">
        <v>36986137</v>
      </c>
      <c r="U11" s="288">
        <v>779602</v>
      </c>
      <c r="V11" s="288">
        <v>23136533</v>
      </c>
      <c r="W11" s="288">
        <v>44862762</v>
      </c>
      <c r="X11" s="288">
        <v>6435637</v>
      </c>
      <c r="Y11" s="288">
        <v>3269036</v>
      </c>
      <c r="Z11" s="288">
        <v>4565081</v>
      </c>
      <c r="AA11" s="288">
        <v>5333481</v>
      </c>
      <c r="AB11" s="288">
        <v>102720</v>
      </c>
      <c r="AC11" s="146">
        <f t="shared" si="12"/>
        <v>153036608</v>
      </c>
    </row>
    <row r="12" spans="1:29" x14ac:dyDescent="0.15">
      <c r="A12" s="125" t="str">
        <f t="shared" si="13"/>
        <v>2021-07</v>
      </c>
      <c r="B12" s="124">
        <f t="shared" si="14"/>
        <v>2.3465150000000001</v>
      </c>
      <c r="C12" s="124">
        <f t="shared" si="0"/>
        <v>3.6080839999999998</v>
      </c>
      <c r="D12" s="124">
        <f t="shared" si="1"/>
        <v>17.491851</v>
      </c>
      <c r="E12" s="124">
        <f t="shared" si="2"/>
        <v>38.739212999999999</v>
      </c>
      <c r="F12" s="124">
        <f t="shared" si="3"/>
        <v>0.69672699999999999</v>
      </c>
      <c r="G12" s="124">
        <f t="shared" si="4"/>
        <v>20.085885000000001</v>
      </c>
      <c r="H12" s="124">
        <f t="shared" si="5"/>
        <v>50.694487000000002</v>
      </c>
      <c r="I12" s="124">
        <f t="shared" si="6"/>
        <v>4.9871549999999996</v>
      </c>
      <c r="J12" s="124">
        <f t="shared" si="7"/>
        <v>3.755525</v>
      </c>
      <c r="K12" s="124">
        <f t="shared" si="8"/>
        <v>7.4888729999999999</v>
      </c>
      <c r="L12" s="124">
        <f t="shared" si="9"/>
        <v>8.6864849999999993</v>
      </c>
      <c r="M12" s="124">
        <f t="shared" si="10"/>
        <v>7.2327000000000002E-2</v>
      </c>
      <c r="N12" s="124">
        <f t="shared" si="11"/>
        <v>158.65312700000004</v>
      </c>
      <c r="P12" s="287" t="s">
        <v>184</v>
      </c>
      <c r="Q12" s="288">
        <v>2346515</v>
      </c>
      <c r="R12" s="288">
        <v>3608084</v>
      </c>
      <c r="S12" s="288">
        <v>17491851</v>
      </c>
      <c r="T12" s="288">
        <v>38739213</v>
      </c>
      <c r="U12" s="288">
        <v>696727</v>
      </c>
      <c r="V12" s="288">
        <v>20085885</v>
      </c>
      <c r="W12" s="288">
        <v>50694487</v>
      </c>
      <c r="X12" s="288">
        <v>4987155</v>
      </c>
      <c r="Y12" s="288">
        <v>3755525</v>
      </c>
      <c r="Z12" s="288">
        <v>7488873</v>
      </c>
      <c r="AA12" s="288">
        <v>8686485</v>
      </c>
      <c r="AB12" s="288">
        <v>72327</v>
      </c>
      <c r="AC12" s="146">
        <f t="shared" si="12"/>
        <v>158653127</v>
      </c>
    </row>
    <row r="13" spans="1:29" x14ac:dyDescent="0.15">
      <c r="A13" s="125" t="str">
        <f t="shared" si="13"/>
        <v>2021-08</v>
      </c>
      <c r="B13" s="124">
        <f t="shared" si="14"/>
        <v>1.3557600000000001</v>
      </c>
      <c r="C13" s="124">
        <f t="shared" si="0"/>
        <v>2.4950130000000001</v>
      </c>
      <c r="D13" s="124">
        <f t="shared" si="1"/>
        <v>19.381350999999999</v>
      </c>
      <c r="E13" s="124">
        <f t="shared" si="2"/>
        <v>35.215629999999997</v>
      </c>
      <c r="F13" s="124">
        <f t="shared" si="3"/>
        <v>0.821492</v>
      </c>
      <c r="G13" s="124">
        <f t="shared" si="4"/>
        <v>18.586167</v>
      </c>
      <c r="H13" s="124">
        <f t="shared" si="5"/>
        <v>45.545383000000001</v>
      </c>
      <c r="I13" s="124">
        <f t="shared" si="6"/>
        <v>3.5805069999999999</v>
      </c>
      <c r="J13" s="124">
        <f t="shared" si="7"/>
        <v>4.4474099999999996</v>
      </c>
      <c r="K13" s="124">
        <f t="shared" si="8"/>
        <v>7.4350750000000003</v>
      </c>
      <c r="L13" s="124">
        <f t="shared" si="9"/>
        <v>7.0916550000000003</v>
      </c>
      <c r="M13" s="124">
        <f t="shared" si="10"/>
        <v>8.1282999999999994E-2</v>
      </c>
      <c r="N13" s="124">
        <f t="shared" si="11"/>
        <v>146.03672600000002</v>
      </c>
      <c r="P13" s="287" t="s">
        <v>185</v>
      </c>
      <c r="Q13" s="288">
        <v>1355760</v>
      </c>
      <c r="R13" s="288">
        <v>2495013</v>
      </c>
      <c r="S13" s="288">
        <v>19381351</v>
      </c>
      <c r="T13" s="288">
        <v>35215630</v>
      </c>
      <c r="U13" s="288">
        <v>821492</v>
      </c>
      <c r="V13" s="288">
        <v>18586167</v>
      </c>
      <c r="W13" s="288">
        <v>45545383</v>
      </c>
      <c r="X13" s="288">
        <v>3580507</v>
      </c>
      <c r="Y13" s="288">
        <v>4447410</v>
      </c>
      <c r="Z13" s="288">
        <v>7435075</v>
      </c>
      <c r="AA13" s="288">
        <v>7091655</v>
      </c>
      <c r="AB13" s="288">
        <v>81283</v>
      </c>
      <c r="AC13" s="146">
        <f t="shared" si="12"/>
        <v>146036726</v>
      </c>
    </row>
    <row r="14" spans="1:29" x14ac:dyDescent="0.15">
      <c r="A14" s="125" t="str">
        <f t="shared" si="13"/>
        <v>2021-09</v>
      </c>
      <c r="B14" s="124">
        <f t="shared" si="14"/>
        <v>1.892522</v>
      </c>
      <c r="C14" s="124">
        <f t="shared" si="0"/>
        <v>2.4668709999999998</v>
      </c>
      <c r="D14" s="124">
        <f t="shared" si="1"/>
        <v>18.008396000000001</v>
      </c>
      <c r="E14" s="124">
        <f t="shared" si="2"/>
        <v>36.572417000000002</v>
      </c>
      <c r="F14" s="124">
        <f t="shared" si="3"/>
        <v>0.70208999999999999</v>
      </c>
      <c r="G14" s="124">
        <f t="shared" si="4"/>
        <v>22.678607</v>
      </c>
      <c r="H14" s="124">
        <f t="shared" si="5"/>
        <v>50.734298000000003</v>
      </c>
      <c r="I14" s="124">
        <f t="shared" si="6"/>
        <v>5.6013719999999996</v>
      </c>
      <c r="J14" s="124">
        <f t="shared" si="7"/>
        <v>8.2965289999999996</v>
      </c>
      <c r="K14" s="124">
        <f t="shared" si="8"/>
        <v>5.542427</v>
      </c>
      <c r="L14" s="124">
        <f t="shared" si="9"/>
        <v>8.0335920000000005</v>
      </c>
      <c r="M14" s="124">
        <f t="shared" si="10"/>
        <v>9.1023999999999994E-2</v>
      </c>
      <c r="N14" s="124">
        <f t="shared" si="11"/>
        <v>160.62014500000001</v>
      </c>
      <c r="P14" s="287" t="s">
        <v>186</v>
      </c>
      <c r="Q14" s="288">
        <v>1892522</v>
      </c>
      <c r="R14" s="288">
        <v>2466871</v>
      </c>
      <c r="S14" s="288">
        <v>18008396</v>
      </c>
      <c r="T14" s="288">
        <v>36572417</v>
      </c>
      <c r="U14" s="288">
        <v>702090</v>
      </c>
      <c r="V14" s="288">
        <v>22678607</v>
      </c>
      <c r="W14" s="288">
        <v>50734298</v>
      </c>
      <c r="X14" s="288">
        <v>5601372</v>
      </c>
      <c r="Y14" s="288">
        <v>8296529</v>
      </c>
      <c r="Z14" s="288">
        <v>5542427</v>
      </c>
      <c r="AA14" s="288">
        <v>8033592</v>
      </c>
      <c r="AB14" s="288">
        <v>91024</v>
      </c>
      <c r="AC14" s="146">
        <f t="shared" si="12"/>
        <v>160620145</v>
      </c>
    </row>
    <row r="15" spans="1:29" x14ac:dyDescent="0.15">
      <c r="A15" s="126" t="s">
        <v>15</v>
      </c>
      <c r="B15" s="124">
        <f>SUM(B3:B14)</f>
        <v>24.043608999999996</v>
      </c>
      <c r="C15" s="124">
        <f t="shared" ref="C15:M15" si="15">SUM(C3:C14)</f>
        <v>34.563133000000001</v>
      </c>
      <c r="D15" s="124">
        <f t="shared" si="15"/>
        <v>247.00965499999998</v>
      </c>
      <c r="E15" s="124">
        <f t="shared" si="15"/>
        <v>479.78938099999993</v>
      </c>
      <c r="F15" s="124">
        <f t="shared" si="15"/>
        <v>13.966144</v>
      </c>
      <c r="G15" s="124">
        <f t="shared" si="15"/>
        <v>252.374606</v>
      </c>
      <c r="H15" s="124">
        <f t="shared" si="15"/>
        <v>536.58246099999997</v>
      </c>
      <c r="I15" s="124">
        <f t="shared" si="15"/>
        <v>64.506292000000002</v>
      </c>
      <c r="J15" s="124">
        <f t="shared" si="15"/>
        <v>50.985855000000001</v>
      </c>
      <c r="K15" s="124">
        <f t="shared" si="15"/>
        <v>68.714117999999999</v>
      </c>
      <c r="L15" s="124">
        <f t="shared" si="15"/>
        <v>84.94147000000001</v>
      </c>
      <c r="M15" s="124">
        <f t="shared" si="15"/>
        <v>1.268106</v>
      </c>
      <c r="N15" s="124">
        <f t="shared" si="11"/>
        <v>1858.7448299999999</v>
      </c>
      <c r="P15" s="126" t="s">
        <v>15</v>
      </c>
      <c r="Q15" s="146">
        <f t="shared" ref="Q15:AC15" si="16">SUM(Q3:Q14)</f>
        <v>24043609</v>
      </c>
      <c r="R15" s="146">
        <f t="shared" si="16"/>
        <v>34563133</v>
      </c>
      <c r="S15" s="146">
        <f t="shared" si="16"/>
        <v>247009655</v>
      </c>
      <c r="T15" s="146">
        <f t="shared" si="16"/>
        <v>479789381</v>
      </c>
      <c r="U15" s="146">
        <f t="shared" si="16"/>
        <v>13966144</v>
      </c>
      <c r="V15" s="146">
        <f t="shared" si="16"/>
        <v>252374606</v>
      </c>
      <c r="W15" s="146">
        <f t="shared" si="16"/>
        <v>536582461</v>
      </c>
      <c r="X15" s="146">
        <f t="shared" si="16"/>
        <v>64506292</v>
      </c>
      <c r="Y15" s="146">
        <f t="shared" si="16"/>
        <v>50985855</v>
      </c>
      <c r="Z15" s="146">
        <f t="shared" si="16"/>
        <v>68714118</v>
      </c>
      <c r="AA15" s="146">
        <f t="shared" si="16"/>
        <v>84941470</v>
      </c>
      <c r="AB15" s="146">
        <f t="shared" si="16"/>
        <v>1268106</v>
      </c>
      <c r="AC15" s="146">
        <f t="shared" si="16"/>
        <v>1858744830</v>
      </c>
    </row>
    <row r="16" spans="1:29" x14ac:dyDescent="0.15">
      <c r="A16" s="128" t="s">
        <v>29</v>
      </c>
      <c r="B16" s="127">
        <f>AVERAGE(B3:B14)</f>
        <v>2.003634083333333</v>
      </c>
      <c r="C16" s="127">
        <f t="shared" ref="C16:M16" si="17">AVERAGE(C3:C14)</f>
        <v>2.8802610833333335</v>
      </c>
      <c r="D16" s="127">
        <f t="shared" si="17"/>
        <v>20.584137916666666</v>
      </c>
      <c r="E16" s="127">
        <f t="shared" si="17"/>
        <v>39.982448416666664</v>
      </c>
      <c r="F16" s="127">
        <f t="shared" si="17"/>
        <v>1.1638453333333334</v>
      </c>
      <c r="G16" s="127">
        <f t="shared" si="17"/>
        <v>21.031217166666668</v>
      </c>
      <c r="H16" s="127">
        <f t="shared" si="17"/>
        <v>44.715205083333331</v>
      </c>
      <c r="I16" s="127">
        <f t="shared" si="17"/>
        <v>5.3755243333333338</v>
      </c>
      <c r="J16" s="127">
        <f t="shared" si="17"/>
        <v>4.2488212499999998</v>
      </c>
      <c r="K16" s="127">
        <f t="shared" si="17"/>
        <v>5.7261765000000002</v>
      </c>
      <c r="L16" s="127">
        <f t="shared" si="17"/>
        <v>7.0784558333333338</v>
      </c>
      <c r="M16" s="127">
        <f t="shared" si="17"/>
        <v>0.10567549999999999</v>
      </c>
      <c r="N16" s="233"/>
    </row>
    <row r="17" spans="1:27" x14ac:dyDescent="0.15">
      <c r="A17" s="290" t="s">
        <v>189</v>
      </c>
      <c r="B17" s="289">
        <v>22.938811000000001</v>
      </c>
      <c r="C17" s="289">
        <v>39.777545000000003</v>
      </c>
      <c r="D17" s="289">
        <v>373.78777500000001</v>
      </c>
      <c r="E17" s="289">
        <v>428.93781000000001</v>
      </c>
      <c r="F17" s="289">
        <v>8.3393150000000009</v>
      </c>
      <c r="G17" s="289">
        <v>233.80064299999998</v>
      </c>
      <c r="H17" s="289">
        <v>455.37547700000005</v>
      </c>
      <c r="I17" s="289">
        <v>81.46244999999999</v>
      </c>
      <c r="J17" s="289">
        <v>56.457978999999995</v>
      </c>
      <c r="K17" s="289">
        <v>31.767076999999997</v>
      </c>
      <c r="L17" s="289">
        <v>59.36428999999999</v>
      </c>
      <c r="M17" s="289">
        <v>1.322913</v>
      </c>
      <c r="N17" s="124">
        <v>1793.332085</v>
      </c>
      <c r="P17" s="35" t="s">
        <v>132</v>
      </c>
    </row>
    <row r="19" spans="1:27" x14ac:dyDescent="0.15">
      <c r="B19" s="387" t="s">
        <v>30</v>
      </c>
      <c r="C19" s="388"/>
      <c r="D19" s="388"/>
      <c r="E19" s="388"/>
      <c r="F19" s="388"/>
      <c r="G19" s="388"/>
      <c r="H19" s="388"/>
      <c r="I19" s="388"/>
      <c r="J19" s="388"/>
      <c r="K19" s="388"/>
      <c r="L19" s="388"/>
      <c r="M19" s="388"/>
    </row>
    <row r="20" spans="1:27" ht="28" x14ac:dyDescent="0.15">
      <c r="A20" s="65" t="s">
        <v>16</v>
      </c>
      <c r="B20" s="187" t="s">
        <v>3</v>
      </c>
      <c r="C20" s="187" t="s">
        <v>4</v>
      </c>
      <c r="D20" s="187" t="s">
        <v>5</v>
      </c>
      <c r="E20" s="187" t="s">
        <v>6</v>
      </c>
      <c r="F20" s="187" t="s">
        <v>7</v>
      </c>
      <c r="G20" s="66" t="s">
        <v>14</v>
      </c>
      <c r="H20" s="188" t="s">
        <v>123</v>
      </c>
      <c r="I20" s="66" t="s">
        <v>8</v>
      </c>
      <c r="J20" s="66" t="s">
        <v>17</v>
      </c>
      <c r="K20" s="66" t="s">
        <v>9</v>
      </c>
      <c r="L20" s="66" t="s">
        <v>12</v>
      </c>
      <c r="M20" s="66" t="s">
        <v>10</v>
      </c>
    </row>
    <row r="21" spans="1:27" x14ac:dyDescent="0.15">
      <c r="A21" s="189">
        <v>44105</v>
      </c>
      <c r="B21" s="190">
        <f t="shared" ref="B21:B32" si="18">B3-B$16</f>
        <v>0.40671891666666715</v>
      </c>
      <c r="C21" s="190">
        <f t="shared" ref="C21:M21" si="19">C3-C$16</f>
        <v>-0.19127208333333368</v>
      </c>
      <c r="D21" s="190">
        <f t="shared" si="19"/>
        <v>8.3785800833333326</v>
      </c>
      <c r="E21" s="190">
        <f t="shared" si="19"/>
        <v>-3.9719374166666626</v>
      </c>
      <c r="F21" s="190">
        <f t="shared" si="19"/>
        <v>-0.37836333333333338</v>
      </c>
      <c r="G21" s="190">
        <f t="shared" si="19"/>
        <v>-2.6220161666666684</v>
      </c>
      <c r="H21" s="190">
        <f t="shared" si="19"/>
        <v>1.7416259166666705</v>
      </c>
      <c r="I21" s="190">
        <f t="shared" si="19"/>
        <v>-1.0723693333333335</v>
      </c>
      <c r="J21" s="190">
        <f t="shared" si="19"/>
        <v>0.47571474999999985</v>
      </c>
      <c r="K21" s="190">
        <f t="shared" si="19"/>
        <v>-2.2797195000000001</v>
      </c>
      <c r="L21" s="190">
        <f t="shared" si="19"/>
        <v>-1.8546908333333336</v>
      </c>
      <c r="M21" s="190">
        <f t="shared" si="19"/>
        <v>3.6901500000000018E-2</v>
      </c>
      <c r="N21" s="14"/>
      <c r="O21" s="14"/>
    </row>
    <row r="22" spans="1:27" x14ac:dyDescent="0.15">
      <c r="A22" s="189">
        <v>44136</v>
      </c>
      <c r="B22" s="190">
        <f t="shared" si="18"/>
        <v>0.27729391666666681</v>
      </c>
      <c r="C22" s="190">
        <f t="shared" ref="C22:M22" si="20">C4-C$16</f>
        <v>3.1241916666666647E-2</v>
      </c>
      <c r="D22" s="190">
        <f t="shared" si="20"/>
        <v>-4.6552499166666657</v>
      </c>
      <c r="E22" s="190">
        <f t="shared" si="20"/>
        <v>-3.7688774166666619</v>
      </c>
      <c r="F22" s="190">
        <f t="shared" si="20"/>
        <v>2.1173316666666668</v>
      </c>
      <c r="G22" s="190">
        <f t="shared" si="20"/>
        <v>0.19474583333333229</v>
      </c>
      <c r="H22" s="190">
        <f t="shared" si="20"/>
        <v>-3.5240060833333331</v>
      </c>
      <c r="I22" s="190">
        <f t="shared" si="20"/>
        <v>-1.8296603333333339</v>
      </c>
      <c r="J22" s="190">
        <f t="shared" si="20"/>
        <v>-0.18006024999999948</v>
      </c>
      <c r="K22" s="190">
        <f t="shared" si="20"/>
        <v>-3.6146395</v>
      </c>
      <c r="L22" s="190">
        <f t="shared" si="20"/>
        <v>-0.7631138333333336</v>
      </c>
      <c r="M22" s="190">
        <f t="shared" si="20"/>
        <v>7.9745000000000094E-3</v>
      </c>
    </row>
    <row r="23" spans="1:27" x14ac:dyDescent="0.15">
      <c r="A23" s="189">
        <v>44166</v>
      </c>
      <c r="B23" s="190">
        <f t="shared" si="18"/>
        <v>0.418002916666667</v>
      </c>
      <c r="C23" s="190">
        <f t="shared" ref="C23:M23" si="21">C5-C$16</f>
        <v>-0.28242408333333335</v>
      </c>
      <c r="D23" s="190">
        <f t="shared" si="21"/>
        <v>-2.3138029166666669</v>
      </c>
      <c r="E23" s="190">
        <f t="shared" si="21"/>
        <v>-1.2171234166666665</v>
      </c>
      <c r="F23" s="190">
        <f t="shared" si="21"/>
        <v>0.1240456666666665</v>
      </c>
      <c r="G23" s="190">
        <f t="shared" si="21"/>
        <v>-1.7132391666666678</v>
      </c>
      <c r="H23" s="190">
        <f t="shared" si="21"/>
        <v>-6.3385710833333277</v>
      </c>
      <c r="I23" s="190">
        <f t="shared" si="21"/>
        <v>0.28968466666666615</v>
      </c>
      <c r="J23" s="190">
        <f t="shared" si="21"/>
        <v>-1.2460312499999997</v>
      </c>
      <c r="K23" s="190">
        <f t="shared" si="21"/>
        <v>-1.0665075000000002</v>
      </c>
      <c r="L23" s="190">
        <f t="shared" si="21"/>
        <v>-0.43383983333333376</v>
      </c>
      <c r="M23" s="190">
        <f t="shared" si="21"/>
        <v>-2.0058499999999993E-2</v>
      </c>
      <c r="P23"/>
      <c r="Q23"/>
      <c r="R23"/>
      <c r="S23"/>
      <c r="T23"/>
      <c r="U23"/>
      <c r="V23"/>
      <c r="W23"/>
      <c r="X23"/>
      <c r="Y23"/>
      <c r="Z23"/>
      <c r="AA23"/>
    </row>
    <row r="24" spans="1:27" x14ac:dyDescent="0.15">
      <c r="A24" s="189">
        <v>44197</v>
      </c>
      <c r="B24" s="190">
        <f t="shared" si="18"/>
        <v>0.71512491666666689</v>
      </c>
      <c r="C24" s="190">
        <f t="shared" ref="C24:M24" si="22">C6-C$16</f>
        <v>-0.35037608333333337</v>
      </c>
      <c r="D24" s="190">
        <f t="shared" si="22"/>
        <v>-1.5050479166666655</v>
      </c>
      <c r="E24" s="190">
        <f t="shared" si="22"/>
        <v>-3.3722364166666665</v>
      </c>
      <c r="F24" s="190">
        <f t="shared" si="22"/>
        <v>0.7962136666666666</v>
      </c>
      <c r="G24" s="190">
        <f t="shared" si="22"/>
        <v>-0.69650116666666761</v>
      </c>
      <c r="H24" s="190">
        <f t="shared" si="22"/>
        <v>-1.8070340833333276</v>
      </c>
      <c r="I24" s="190">
        <f t="shared" si="22"/>
        <v>0.4540366666666662</v>
      </c>
      <c r="J24" s="190">
        <f t="shared" si="22"/>
        <v>0.32935675000000053</v>
      </c>
      <c r="K24" s="190">
        <f t="shared" si="22"/>
        <v>-2.5411675000000002</v>
      </c>
      <c r="L24" s="190">
        <f t="shared" si="22"/>
        <v>-0.96905283333333347</v>
      </c>
      <c r="M24" s="190">
        <f t="shared" si="22"/>
        <v>-2.3256499999999986E-2</v>
      </c>
      <c r="P24"/>
      <c r="Q24"/>
      <c r="R24"/>
      <c r="S24"/>
      <c r="T24"/>
      <c r="U24"/>
      <c r="V24"/>
      <c r="W24"/>
      <c r="X24"/>
      <c r="Y24"/>
      <c r="Z24"/>
      <c r="AA24"/>
    </row>
    <row r="25" spans="1:27" x14ac:dyDescent="0.15">
      <c r="A25" s="189">
        <v>44228</v>
      </c>
      <c r="B25" s="190">
        <f t="shared" si="18"/>
        <v>-0.491440083333333</v>
      </c>
      <c r="C25" s="190">
        <f t="shared" ref="C25:M25" si="23">C7-C$16</f>
        <v>-0.61542908333333335</v>
      </c>
      <c r="D25" s="190">
        <f t="shared" si="23"/>
        <v>-2.4495069166666674</v>
      </c>
      <c r="E25" s="190">
        <f t="shared" si="23"/>
        <v>-4.4688954166666619</v>
      </c>
      <c r="F25" s="190">
        <f t="shared" si="23"/>
        <v>-1.7893333333334205E-3</v>
      </c>
      <c r="G25" s="190">
        <f t="shared" si="23"/>
        <v>-3.7023541666666695</v>
      </c>
      <c r="H25" s="190">
        <f t="shared" si="23"/>
        <v>-9.7475080833333294</v>
      </c>
      <c r="I25" s="190">
        <f t="shared" si="23"/>
        <v>1.4686796666666666</v>
      </c>
      <c r="J25" s="190">
        <f t="shared" si="23"/>
        <v>-0.33499424999999983</v>
      </c>
      <c r="K25" s="190">
        <f t="shared" si="23"/>
        <v>8.345249999999993E-2</v>
      </c>
      <c r="L25" s="190">
        <f t="shared" si="23"/>
        <v>6.9505891666666662</v>
      </c>
      <c r="M25" s="190">
        <f t="shared" si="23"/>
        <v>-1.8890499999999991E-2</v>
      </c>
      <c r="P25"/>
      <c r="Q25"/>
      <c r="R25"/>
      <c r="S25"/>
      <c r="T25"/>
      <c r="U25"/>
      <c r="V25"/>
      <c r="W25"/>
      <c r="X25"/>
      <c r="Y25"/>
      <c r="Z25"/>
      <c r="AA25"/>
    </row>
    <row r="26" spans="1:27" x14ac:dyDescent="0.15">
      <c r="A26" s="189">
        <v>44256</v>
      </c>
      <c r="B26" s="190">
        <f t="shared" si="18"/>
        <v>-8.5090833333330007E-3</v>
      </c>
      <c r="C26" s="190">
        <f t="shared" ref="C26:M26" si="24">C8-C$16</f>
        <v>-0.50248008333333338</v>
      </c>
      <c r="D26" s="190">
        <f t="shared" si="24"/>
        <v>4.2491470833333338</v>
      </c>
      <c r="E26" s="190">
        <f t="shared" si="24"/>
        <v>10.995541583333335</v>
      </c>
      <c r="F26" s="190">
        <f t="shared" si="24"/>
        <v>-0.39085333333333339</v>
      </c>
      <c r="G26" s="190">
        <f t="shared" si="24"/>
        <v>4.532335833333331</v>
      </c>
      <c r="H26" s="190">
        <f t="shared" si="24"/>
        <v>2.6030249166666692</v>
      </c>
      <c r="I26" s="190">
        <f t="shared" si="24"/>
        <v>-0.92408933333333376</v>
      </c>
      <c r="J26" s="190">
        <f t="shared" si="24"/>
        <v>-0.46104824999999972</v>
      </c>
      <c r="K26" s="190">
        <f t="shared" si="24"/>
        <v>2.1947514999999997</v>
      </c>
      <c r="L26" s="190">
        <f t="shared" si="24"/>
        <v>0.31480816666666644</v>
      </c>
      <c r="M26" s="190">
        <f t="shared" si="24"/>
        <v>8.4156500000000009E-2</v>
      </c>
      <c r="P26"/>
      <c r="Q26"/>
      <c r="R26"/>
      <c r="S26"/>
      <c r="T26"/>
      <c r="U26"/>
      <c r="V26"/>
      <c r="W26"/>
      <c r="X26"/>
      <c r="Y26"/>
      <c r="Z26"/>
      <c r="AA26"/>
    </row>
    <row r="27" spans="1:27" x14ac:dyDescent="0.15">
      <c r="A27" s="189">
        <v>44287</v>
      </c>
      <c r="B27" s="190">
        <f t="shared" si="18"/>
        <v>-0.47349708333333296</v>
      </c>
      <c r="C27" s="190">
        <f t="shared" ref="C27:M27" si="25">C9-C$16</f>
        <v>0.20668191666666669</v>
      </c>
      <c r="D27" s="190">
        <f t="shared" si="25"/>
        <v>4.6411670833333325</v>
      </c>
      <c r="E27" s="190">
        <f t="shared" si="25"/>
        <v>13.616379583333334</v>
      </c>
      <c r="F27" s="190">
        <f t="shared" si="25"/>
        <v>-0.29556033333333342</v>
      </c>
      <c r="G27" s="190">
        <f t="shared" si="25"/>
        <v>4.0711748333333304</v>
      </c>
      <c r="H27" s="190">
        <f t="shared" si="25"/>
        <v>1.6975879166666701</v>
      </c>
      <c r="I27" s="190">
        <f t="shared" si="25"/>
        <v>0.59319866666666599</v>
      </c>
      <c r="J27" s="190">
        <f t="shared" si="25"/>
        <v>-0.45284324999999992</v>
      </c>
      <c r="K27" s="190">
        <f t="shared" si="25"/>
        <v>-0.17556949999999993</v>
      </c>
      <c r="L27" s="190">
        <f t="shared" si="25"/>
        <v>-2.6380748333333335</v>
      </c>
      <c r="M27" s="190">
        <f t="shared" si="25"/>
        <v>4.3155000000000138E-3</v>
      </c>
      <c r="P27"/>
      <c r="Q27"/>
      <c r="R27"/>
      <c r="S27"/>
      <c r="T27"/>
      <c r="U27"/>
      <c r="V27"/>
      <c r="W27"/>
      <c r="X27"/>
      <c r="Y27"/>
      <c r="Z27"/>
      <c r="AA27"/>
    </row>
    <row r="28" spans="1:27" x14ac:dyDescent="0.15">
      <c r="A28" s="189">
        <v>44317</v>
      </c>
      <c r="B28" s="190">
        <f t="shared" si="18"/>
        <v>0.10867191666666676</v>
      </c>
      <c r="C28" s="190">
        <f t="shared" ref="C28:M28" si="26">C10-C$16</f>
        <v>1.1684849166666669</v>
      </c>
      <c r="D28" s="190">
        <f t="shared" si="26"/>
        <v>-1.5019299166666649</v>
      </c>
      <c r="E28" s="190">
        <f t="shared" si="26"/>
        <v>4.6035455833333359</v>
      </c>
      <c r="F28" s="190">
        <f t="shared" si="26"/>
        <v>-0.31555433333333338</v>
      </c>
      <c r="G28" s="190">
        <f t="shared" si="26"/>
        <v>-0.42646916666666712</v>
      </c>
      <c r="H28" s="190">
        <f t="shared" si="26"/>
        <v>2.3987709166666704</v>
      </c>
      <c r="I28" s="190">
        <f t="shared" si="26"/>
        <v>1.9179456666666663</v>
      </c>
      <c r="J28" s="190">
        <f t="shared" si="26"/>
        <v>-0.90330924999999995</v>
      </c>
      <c r="K28" s="190">
        <f t="shared" si="26"/>
        <v>5.2726494999999991</v>
      </c>
      <c r="L28" s="190">
        <f t="shared" si="26"/>
        <v>-1.4380148333333338</v>
      </c>
      <c r="M28" s="190">
        <f t="shared" si="26"/>
        <v>4.2055000000000148E-3</v>
      </c>
    </row>
    <row r="29" spans="1:27" x14ac:dyDescent="0.15">
      <c r="A29" s="189">
        <v>44348</v>
      </c>
      <c r="B29" s="190">
        <f t="shared" si="18"/>
        <v>-0.536261083333333</v>
      </c>
      <c r="C29" s="190">
        <f t="shared" ref="C29:M29" si="27">C11-C$16</f>
        <v>0.60638791666666636</v>
      </c>
      <c r="D29" s="190">
        <f t="shared" si="27"/>
        <v>2.0274590833333335</v>
      </c>
      <c r="E29" s="190">
        <f t="shared" si="27"/>
        <v>-2.9963114166666642</v>
      </c>
      <c r="F29" s="190">
        <f t="shared" si="27"/>
        <v>-0.38424333333333338</v>
      </c>
      <c r="G29" s="190">
        <f t="shared" si="27"/>
        <v>2.1053158333333322</v>
      </c>
      <c r="H29" s="190">
        <f t="shared" si="27"/>
        <v>0.14755691666666593</v>
      </c>
      <c r="I29" s="190">
        <f t="shared" si="27"/>
        <v>1.060112666666666</v>
      </c>
      <c r="J29" s="190">
        <f t="shared" si="27"/>
        <v>-0.97978524999999994</v>
      </c>
      <c r="K29" s="190">
        <f t="shared" si="27"/>
        <v>-1.1610955000000001</v>
      </c>
      <c r="L29" s="190">
        <f t="shared" si="27"/>
        <v>-1.7449748333333339</v>
      </c>
      <c r="M29" s="190">
        <f t="shared" si="27"/>
        <v>-2.9554999999999859E-3</v>
      </c>
    </row>
    <row r="30" spans="1:27" x14ac:dyDescent="0.15">
      <c r="A30" s="189">
        <v>44378</v>
      </c>
      <c r="B30" s="190">
        <f t="shared" si="18"/>
        <v>0.34288091666666709</v>
      </c>
      <c r="C30" s="190">
        <f t="shared" ref="C30:M30" si="28">C12-C$16</f>
        <v>0.72782291666666632</v>
      </c>
      <c r="D30" s="190">
        <f t="shared" si="28"/>
        <v>-3.0922869166666658</v>
      </c>
      <c r="E30" s="190">
        <f t="shared" si="28"/>
        <v>-1.2432354166666642</v>
      </c>
      <c r="F30" s="190">
        <f t="shared" si="28"/>
        <v>-0.46711833333333341</v>
      </c>
      <c r="G30" s="190">
        <f t="shared" si="28"/>
        <v>-0.94533216666666675</v>
      </c>
      <c r="H30" s="190">
        <f t="shared" si="28"/>
        <v>5.9792819166666717</v>
      </c>
      <c r="I30" s="190">
        <f t="shared" si="28"/>
        <v>-0.38836933333333423</v>
      </c>
      <c r="J30" s="190">
        <f t="shared" si="28"/>
        <v>-0.49329624999999977</v>
      </c>
      <c r="K30" s="190">
        <f t="shared" si="28"/>
        <v>1.7626964999999997</v>
      </c>
      <c r="L30" s="190">
        <f t="shared" si="28"/>
        <v>1.6080291666666655</v>
      </c>
      <c r="M30" s="190">
        <f t="shared" si="28"/>
        <v>-3.3348499999999989E-2</v>
      </c>
    </row>
    <row r="31" spans="1:27" x14ac:dyDescent="0.15">
      <c r="A31" s="189">
        <v>44409</v>
      </c>
      <c r="B31" s="190">
        <f t="shared" si="18"/>
        <v>-0.64787408333333296</v>
      </c>
      <c r="C31" s="190">
        <f t="shared" ref="C31:M31" si="29">C13-C$16</f>
        <v>-0.38524808333333338</v>
      </c>
      <c r="D31" s="190">
        <f t="shared" si="29"/>
        <v>-1.2027869166666676</v>
      </c>
      <c r="E31" s="190">
        <f t="shared" si="29"/>
        <v>-4.7668184166666663</v>
      </c>
      <c r="F31" s="190">
        <f t="shared" si="29"/>
        <v>-0.3423533333333334</v>
      </c>
      <c r="G31" s="190">
        <f t="shared" si="29"/>
        <v>-2.4450501666666682</v>
      </c>
      <c r="H31" s="190">
        <f t="shared" si="29"/>
        <v>0.83017791666667051</v>
      </c>
      <c r="I31" s="190">
        <f t="shared" si="29"/>
        <v>-1.7950173333333339</v>
      </c>
      <c r="J31" s="190">
        <f t="shared" si="29"/>
        <v>0.19858874999999987</v>
      </c>
      <c r="K31" s="190">
        <f t="shared" si="29"/>
        <v>1.7088985000000001</v>
      </c>
      <c r="L31" s="190">
        <f t="shared" si="29"/>
        <v>1.3199166666666429E-2</v>
      </c>
      <c r="M31" s="190">
        <f t="shared" si="29"/>
        <v>-2.4392499999999998E-2</v>
      </c>
    </row>
    <row r="32" spans="1:27" x14ac:dyDescent="0.15">
      <c r="A32" s="189">
        <v>44440</v>
      </c>
      <c r="B32" s="190">
        <f t="shared" si="18"/>
        <v>-0.111112083333333</v>
      </c>
      <c r="C32" s="190">
        <f t="shared" ref="C32:M32" si="30">C14-C$16</f>
        <v>-0.41339008333333371</v>
      </c>
      <c r="D32" s="190">
        <f t="shared" si="30"/>
        <v>-2.5757419166666651</v>
      </c>
      <c r="E32" s="190">
        <f t="shared" si="30"/>
        <v>-3.4100314166666621</v>
      </c>
      <c r="F32" s="190">
        <f t="shared" si="30"/>
        <v>-0.46175533333333341</v>
      </c>
      <c r="G32" s="190">
        <f t="shared" si="30"/>
        <v>1.6473898333333317</v>
      </c>
      <c r="H32" s="190">
        <f t="shared" si="30"/>
        <v>6.019092916666672</v>
      </c>
      <c r="I32" s="190">
        <f t="shared" si="30"/>
        <v>0.22584766666666578</v>
      </c>
      <c r="J32" s="190">
        <f t="shared" si="30"/>
        <v>4.0477077499999998</v>
      </c>
      <c r="K32" s="190">
        <f t="shared" si="30"/>
        <v>-0.18374950000000023</v>
      </c>
      <c r="L32" s="190">
        <f t="shared" si="30"/>
        <v>0.95513616666666667</v>
      </c>
      <c r="M32" s="190">
        <f t="shared" si="30"/>
        <v>-1.4651499999999998E-2</v>
      </c>
    </row>
    <row r="33" spans="1:14" x14ac:dyDescent="0.15">
      <c r="A33" s="149" t="s">
        <v>11</v>
      </c>
      <c r="B33" s="191">
        <f>SUM(B21:B32)</f>
        <v>3.7747582837255322E-15</v>
      </c>
      <c r="C33" s="191">
        <f t="shared" ref="C33:M33" si="31">SUM(C21:C32)</f>
        <v>-1.3322676295501878E-15</v>
      </c>
      <c r="D33" s="191">
        <f t="shared" si="31"/>
        <v>3.5527136788005009E-15</v>
      </c>
      <c r="E33" s="191">
        <f t="shared" si="31"/>
        <v>2.8421709430404007E-14</v>
      </c>
      <c r="F33" s="191">
        <f t="shared" si="31"/>
        <v>-9.9920072216264089E-16</v>
      </c>
      <c r="G33" s="191">
        <f t="shared" si="31"/>
        <v>-1.7763568394002505E-14</v>
      </c>
      <c r="H33" s="191">
        <f t="shared" si="31"/>
        <v>4.2632564145606011E-14</v>
      </c>
      <c r="I33" s="191">
        <f t="shared" si="31"/>
        <v>-6.2172489379008766E-15</v>
      </c>
      <c r="J33" s="191">
        <f t="shared" si="31"/>
        <v>0</v>
      </c>
      <c r="K33" s="191">
        <f t="shared" si="31"/>
        <v>-1.7763568394002505E-15</v>
      </c>
      <c r="L33" s="191">
        <f t="shared" si="31"/>
        <v>-4.4408920985006262E-15</v>
      </c>
      <c r="M33" s="191">
        <f t="shared" si="31"/>
        <v>1.2490009027033011E-16</v>
      </c>
    </row>
    <row r="34" spans="1:14" x14ac:dyDescent="0.15">
      <c r="A34" s="192"/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</row>
    <row r="35" spans="1:14" x14ac:dyDescent="0.15">
      <c r="A35" s="192"/>
      <c r="B35" s="389" t="s">
        <v>31</v>
      </c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0"/>
    </row>
    <row r="36" spans="1:14" ht="28" x14ac:dyDescent="0.15">
      <c r="A36" s="149" t="s">
        <v>16</v>
      </c>
      <c r="B36" s="150" t="s">
        <v>3</v>
      </c>
      <c r="C36" s="150" t="s">
        <v>4</v>
      </c>
      <c r="D36" s="150" t="s">
        <v>5</v>
      </c>
      <c r="E36" s="150" t="s">
        <v>6</v>
      </c>
      <c r="F36" s="150" t="s">
        <v>7</v>
      </c>
      <c r="G36" s="151" t="s">
        <v>14</v>
      </c>
      <c r="H36" s="152" t="s">
        <v>123</v>
      </c>
      <c r="I36" s="151" t="s">
        <v>8</v>
      </c>
      <c r="J36" s="151" t="s">
        <v>17</v>
      </c>
      <c r="K36" s="151" t="s">
        <v>9</v>
      </c>
      <c r="L36" s="151" t="s">
        <v>12</v>
      </c>
      <c r="M36" s="151" t="s">
        <v>10</v>
      </c>
    </row>
    <row r="37" spans="1:14" x14ac:dyDescent="0.15">
      <c r="A37" s="189">
        <f>A21</f>
        <v>44105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</row>
    <row r="38" spans="1:14" x14ac:dyDescent="0.15">
      <c r="A38" s="189">
        <f t="shared" ref="A38:A48" si="32">A22</f>
        <v>44136</v>
      </c>
      <c r="B38" s="190">
        <f>B4-B3</f>
        <v>-0.12942500000000035</v>
      </c>
      <c r="C38" s="190">
        <f t="shared" ref="C38:M38" si="33">C4-C3</f>
        <v>0.22251400000000032</v>
      </c>
      <c r="D38" s="190">
        <f t="shared" si="33"/>
        <v>-13.033829999999998</v>
      </c>
      <c r="E38" s="190">
        <f t="shared" si="33"/>
        <v>0.20306000000000068</v>
      </c>
      <c r="F38" s="190">
        <f t="shared" si="33"/>
        <v>2.495695</v>
      </c>
      <c r="G38" s="190">
        <f t="shared" si="33"/>
        <v>2.8167620000000007</v>
      </c>
      <c r="H38" s="190">
        <f t="shared" si="33"/>
        <v>-5.2656320000000036</v>
      </c>
      <c r="I38" s="190">
        <f t="shared" si="33"/>
        <v>-0.75729100000000038</v>
      </c>
      <c r="J38" s="190">
        <f t="shared" si="33"/>
        <v>-0.65577499999999933</v>
      </c>
      <c r="K38" s="190">
        <f t="shared" si="33"/>
        <v>-1.3349199999999999</v>
      </c>
      <c r="L38" s="190">
        <f t="shared" si="33"/>
        <v>1.091577</v>
      </c>
      <c r="M38" s="190">
        <f t="shared" si="33"/>
        <v>-2.8927000000000008E-2</v>
      </c>
      <c r="N38" s="16"/>
    </row>
    <row r="39" spans="1:14" x14ac:dyDescent="0.15">
      <c r="A39" s="189">
        <f t="shared" si="32"/>
        <v>44166</v>
      </c>
      <c r="B39" s="190">
        <f t="shared" ref="B39:M48" si="34">B5-B4</f>
        <v>0.1407090000000002</v>
      </c>
      <c r="C39" s="190">
        <f t="shared" si="34"/>
        <v>-0.313666</v>
      </c>
      <c r="D39" s="190">
        <f t="shared" si="34"/>
        <v>2.3414469999999987</v>
      </c>
      <c r="E39" s="190">
        <f t="shared" si="34"/>
        <v>2.5517539999999954</v>
      </c>
      <c r="F39" s="190">
        <f t="shared" si="34"/>
        <v>-1.9932860000000001</v>
      </c>
      <c r="G39" s="190">
        <f t="shared" si="34"/>
        <v>-1.907985</v>
      </c>
      <c r="H39" s="190">
        <f t="shared" si="34"/>
        <v>-2.8145649999999947</v>
      </c>
      <c r="I39" s="190">
        <f t="shared" si="34"/>
        <v>2.119345</v>
      </c>
      <c r="J39" s="190">
        <f t="shared" si="34"/>
        <v>-1.0659710000000002</v>
      </c>
      <c r="K39" s="190">
        <f t="shared" si="34"/>
        <v>2.5481319999999998</v>
      </c>
      <c r="L39" s="190">
        <f t="shared" si="34"/>
        <v>0.32927399999999984</v>
      </c>
      <c r="M39" s="190">
        <f t="shared" si="34"/>
        <v>-2.8033000000000002E-2</v>
      </c>
      <c r="N39" s="16"/>
    </row>
    <row r="40" spans="1:14" x14ac:dyDescent="0.15">
      <c r="A40" s="189">
        <f t="shared" si="32"/>
        <v>44197</v>
      </c>
      <c r="B40" s="190">
        <f t="shared" si="34"/>
        <v>0.29712199999999989</v>
      </c>
      <c r="C40" s="190">
        <f t="shared" si="34"/>
        <v>-6.7952000000000012E-2</v>
      </c>
      <c r="D40" s="190">
        <f t="shared" si="34"/>
        <v>0.80875500000000144</v>
      </c>
      <c r="E40" s="190">
        <f t="shared" si="34"/>
        <v>-2.1551130000000001</v>
      </c>
      <c r="F40" s="190">
        <f t="shared" si="34"/>
        <v>0.6721680000000001</v>
      </c>
      <c r="G40" s="190">
        <f t="shared" si="34"/>
        <v>1.0167380000000001</v>
      </c>
      <c r="H40" s="190">
        <f t="shared" si="34"/>
        <v>4.5315370000000001</v>
      </c>
      <c r="I40" s="190">
        <f t="shared" si="34"/>
        <v>0.16435200000000005</v>
      </c>
      <c r="J40" s="190">
        <f t="shared" si="34"/>
        <v>1.5753880000000002</v>
      </c>
      <c r="K40" s="190">
        <f t="shared" si="34"/>
        <v>-1.4746600000000001</v>
      </c>
      <c r="L40" s="190">
        <f t="shared" si="34"/>
        <v>-0.53521299999999972</v>
      </c>
      <c r="M40" s="190">
        <f t="shared" si="34"/>
        <v>-3.1979999999999925E-3</v>
      </c>
      <c r="N40" s="16"/>
    </row>
    <row r="41" spans="1:14" x14ac:dyDescent="0.15">
      <c r="A41" s="189">
        <f t="shared" si="32"/>
        <v>44228</v>
      </c>
      <c r="B41" s="190">
        <f t="shared" si="34"/>
        <v>-1.2065649999999999</v>
      </c>
      <c r="C41" s="190">
        <f t="shared" si="34"/>
        <v>-0.26505299999999998</v>
      </c>
      <c r="D41" s="190">
        <f t="shared" si="34"/>
        <v>-0.94445900000000194</v>
      </c>
      <c r="E41" s="190">
        <f t="shared" si="34"/>
        <v>-1.0966589999999954</v>
      </c>
      <c r="F41" s="190">
        <f t="shared" si="34"/>
        <v>-0.79800300000000002</v>
      </c>
      <c r="G41" s="190">
        <f t="shared" si="34"/>
        <v>-3.0058530000000019</v>
      </c>
      <c r="H41" s="190">
        <f t="shared" si="34"/>
        <v>-7.9404740000000018</v>
      </c>
      <c r="I41" s="190">
        <f t="shared" si="34"/>
        <v>1.0146430000000004</v>
      </c>
      <c r="J41" s="190">
        <f t="shared" si="34"/>
        <v>-0.66435100000000036</v>
      </c>
      <c r="K41" s="190">
        <f t="shared" si="34"/>
        <v>2.6246200000000002</v>
      </c>
      <c r="L41" s="190">
        <f t="shared" si="34"/>
        <v>7.9196419999999996</v>
      </c>
      <c r="M41" s="190">
        <f t="shared" si="34"/>
        <v>4.3659999999999949E-3</v>
      </c>
      <c r="N41" s="16"/>
    </row>
    <row r="42" spans="1:14" x14ac:dyDescent="0.15">
      <c r="A42" s="189">
        <f t="shared" si="32"/>
        <v>44256</v>
      </c>
      <c r="B42" s="190">
        <f t="shared" si="34"/>
        <v>0.482931</v>
      </c>
      <c r="C42" s="190">
        <f t="shared" si="34"/>
        <v>0.11294899999999997</v>
      </c>
      <c r="D42" s="190">
        <f t="shared" si="34"/>
        <v>6.6986540000000012</v>
      </c>
      <c r="E42" s="190">
        <f t="shared" si="34"/>
        <v>15.464436999999997</v>
      </c>
      <c r="F42" s="190">
        <f t="shared" si="34"/>
        <v>-0.38906399999999997</v>
      </c>
      <c r="G42" s="190">
        <f t="shared" si="34"/>
        <v>8.2346900000000005</v>
      </c>
      <c r="H42" s="190">
        <f t="shared" si="34"/>
        <v>12.350532999999999</v>
      </c>
      <c r="I42" s="190">
        <f t="shared" si="34"/>
        <v>-2.3927690000000004</v>
      </c>
      <c r="J42" s="190">
        <f t="shared" si="34"/>
        <v>-0.12605399999999989</v>
      </c>
      <c r="K42" s="190">
        <f t="shared" si="34"/>
        <v>2.1112989999999998</v>
      </c>
      <c r="L42" s="190">
        <f t="shared" si="34"/>
        <v>-6.6357809999999997</v>
      </c>
      <c r="M42" s="190">
        <f t="shared" si="34"/>
        <v>0.103047</v>
      </c>
      <c r="N42" s="16"/>
    </row>
    <row r="43" spans="1:14" x14ac:dyDescent="0.15">
      <c r="A43" s="189">
        <f t="shared" si="32"/>
        <v>44287</v>
      </c>
      <c r="B43" s="190">
        <f t="shared" si="34"/>
        <v>-0.46498799999999996</v>
      </c>
      <c r="C43" s="190">
        <f t="shared" si="34"/>
        <v>0.70916200000000007</v>
      </c>
      <c r="D43" s="190">
        <f t="shared" si="34"/>
        <v>0.3920199999999987</v>
      </c>
      <c r="E43" s="190">
        <f t="shared" si="34"/>
        <v>2.6208379999999991</v>
      </c>
      <c r="F43" s="190">
        <f t="shared" si="34"/>
        <v>9.5292999999999961E-2</v>
      </c>
      <c r="G43" s="190">
        <f t="shared" si="34"/>
        <v>-0.4611610000000006</v>
      </c>
      <c r="H43" s="190">
        <f t="shared" si="34"/>
        <v>-0.90543699999999916</v>
      </c>
      <c r="I43" s="190">
        <f t="shared" si="34"/>
        <v>1.5172879999999997</v>
      </c>
      <c r="J43" s="190">
        <f t="shared" si="34"/>
        <v>8.2049999999997958E-3</v>
      </c>
      <c r="K43" s="190">
        <f t="shared" si="34"/>
        <v>-2.3703209999999997</v>
      </c>
      <c r="L43" s="190">
        <f t="shared" si="34"/>
        <v>-2.9528829999999999</v>
      </c>
      <c r="M43" s="190">
        <f t="shared" si="34"/>
        <v>-7.9840999999999995E-2</v>
      </c>
      <c r="N43" s="16"/>
    </row>
    <row r="44" spans="1:14" x14ac:dyDescent="0.15">
      <c r="A44" s="189">
        <f t="shared" si="32"/>
        <v>44317</v>
      </c>
      <c r="B44" s="190">
        <f t="shared" si="34"/>
        <v>0.58216899999999971</v>
      </c>
      <c r="C44" s="190">
        <f t="shared" si="34"/>
        <v>0.96180300000000019</v>
      </c>
      <c r="D44" s="190">
        <f t="shared" si="34"/>
        <v>-6.1430969999999974</v>
      </c>
      <c r="E44" s="190">
        <f t="shared" si="34"/>
        <v>-9.012833999999998</v>
      </c>
      <c r="F44" s="190">
        <f t="shared" si="34"/>
        <v>-1.9993999999999956E-2</v>
      </c>
      <c r="G44" s="190">
        <f t="shared" si="34"/>
        <v>-4.4976439999999975</v>
      </c>
      <c r="H44" s="190">
        <f t="shared" si="34"/>
        <v>0.70118300000000033</v>
      </c>
      <c r="I44" s="190">
        <f t="shared" si="34"/>
        <v>1.3247470000000003</v>
      </c>
      <c r="J44" s="190">
        <f t="shared" si="34"/>
        <v>-0.45046600000000003</v>
      </c>
      <c r="K44" s="190">
        <f t="shared" si="34"/>
        <v>5.448218999999999</v>
      </c>
      <c r="L44" s="190">
        <f t="shared" si="34"/>
        <v>1.2000599999999997</v>
      </c>
      <c r="M44" s="190">
        <f t="shared" si="34"/>
        <v>-1.0999999999999899E-4</v>
      </c>
      <c r="N44" s="16"/>
    </row>
    <row r="45" spans="1:14" x14ac:dyDescent="0.15">
      <c r="A45" s="189">
        <f t="shared" si="32"/>
        <v>44348</v>
      </c>
      <c r="B45" s="190">
        <f t="shared" si="34"/>
        <v>-0.64493299999999976</v>
      </c>
      <c r="C45" s="190">
        <f t="shared" si="34"/>
        <v>-0.56209700000000051</v>
      </c>
      <c r="D45" s="190">
        <f t="shared" si="34"/>
        <v>3.5293889999999983</v>
      </c>
      <c r="E45" s="190">
        <f t="shared" si="34"/>
        <v>-7.5998570000000001</v>
      </c>
      <c r="F45" s="190">
        <f t="shared" si="34"/>
        <v>-6.8689E-2</v>
      </c>
      <c r="G45" s="190">
        <f t="shared" si="34"/>
        <v>2.5317849999999993</v>
      </c>
      <c r="H45" s="190">
        <f t="shared" si="34"/>
        <v>-2.2512140000000045</v>
      </c>
      <c r="I45" s="190">
        <f t="shared" si="34"/>
        <v>-0.85783300000000029</v>
      </c>
      <c r="J45" s="190">
        <f t="shared" si="34"/>
        <v>-7.6475999999999988E-2</v>
      </c>
      <c r="K45" s="190">
        <f t="shared" si="34"/>
        <v>-6.4337449999999992</v>
      </c>
      <c r="L45" s="190">
        <f t="shared" si="34"/>
        <v>-0.30696000000000012</v>
      </c>
      <c r="M45" s="190">
        <f t="shared" si="34"/>
        <v>-7.1610000000000007E-3</v>
      </c>
      <c r="N45" s="16"/>
    </row>
    <row r="46" spans="1:14" x14ac:dyDescent="0.15">
      <c r="A46" s="189">
        <f t="shared" si="32"/>
        <v>44378</v>
      </c>
      <c r="B46" s="190">
        <f t="shared" si="34"/>
        <v>0.87914200000000009</v>
      </c>
      <c r="C46" s="190">
        <f t="shared" si="34"/>
        <v>0.12143499999999996</v>
      </c>
      <c r="D46" s="190">
        <f t="shared" si="34"/>
        <v>-5.1197459999999992</v>
      </c>
      <c r="E46" s="190">
        <f t="shared" si="34"/>
        <v>1.7530760000000001</v>
      </c>
      <c r="F46" s="190">
        <f t="shared" si="34"/>
        <v>-8.2875000000000032E-2</v>
      </c>
      <c r="G46" s="190">
        <f t="shared" si="34"/>
        <v>-3.0506479999999989</v>
      </c>
      <c r="H46" s="190">
        <f t="shared" si="34"/>
        <v>5.8317250000000058</v>
      </c>
      <c r="I46" s="190">
        <f t="shared" si="34"/>
        <v>-1.4484820000000003</v>
      </c>
      <c r="J46" s="190">
        <f t="shared" si="34"/>
        <v>0.48648900000000017</v>
      </c>
      <c r="K46" s="190">
        <f t="shared" si="34"/>
        <v>2.9237919999999997</v>
      </c>
      <c r="L46" s="190">
        <f t="shared" si="34"/>
        <v>3.3530039999999994</v>
      </c>
      <c r="M46" s="190">
        <f t="shared" si="34"/>
        <v>-3.0393000000000003E-2</v>
      </c>
      <c r="N46" s="16"/>
    </row>
    <row r="47" spans="1:14" x14ac:dyDescent="0.15">
      <c r="A47" s="189">
        <f t="shared" si="32"/>
        <v>44409</v>
      </c>
      <c r="B47" s="190">
        <f t="shared" si="34"/>
        <v>-0.99075500000000005</v>
      </c>
      <c r="C47" s="190">
        <f t="shared" si="34"/>
        <v>-1.1130709999999997</v>
      </c>
      <c r="D47" s="190">
        <f t="shared" si="34"/>
        <v>1.8894999999999982</v>
      </c>
      <c r="E47" s="190">
        <f t="shared" si="34"/>
        <v>-3.5235830000000021</v>
      </c>
      <c r="F47" s="190">
        <f t="shared" si="34"/>
        <v>0.12476500000000001</v>
      </c>
      <c r="G47" s="190">
        <f t="shared" si="34"/>
        <v>-1.4997180000000014</v>
      </c>
      <c r="H47" s="190">
        <f t="shared" si="34"/>
        <v>-5.1491040000000012</v>
      </c>
      <c r="I47" s="190">
        <f t="shared" si="34"/>
        <v>-1.4066479999999997</v>
      </c>
      <c r="J47" s="190">
        <f t="shared" si="34"/>
        <v>0.69188499999999964</v>
      </c>
      <c r="K47" s="190">
        <f t="shared" si="34"/>
        <v>-5.3797999999999568E-2</v>
      </c>
      <c r="L47" s="190">
        <f t="shared" si="34"/>
        <v>-1.5948299999999991</v>
      </c>
      <c r="M47" s="190">
        <f t="shared" si="34"/>
        <v>8.9559999999999917E-3</v>
      </c>
      <c r="N47" s="16"/>
    </row>
    <row r="48" spans="1:14" x14ac:dyDescent="0.15">
      <c r="A48" s="189">
        <f t="shared" si="32"/>
        <v>44440</v>
      </c>
      <c r="B48" s="190">
        <f t="shared" si="34"/>
        <v>0.53676199999999996</v>
      </c>
      <c r="C48" s="190">
        <f t="shared" si="34"/>
        <v>-2.8142000000000333E-2</v>
      </c>
      <c r="D48" s="190">
        <f t="shared" si="34"/>
        <v>-1.3729549999999975</v>
      </c>
      <c r="E48" s="190">
        <f t="shared" si="34"/>
        <v>1.3567870000000042</v>
      </c>
      <c r="F48" s="190">
        <f t="shared" si="34"/>
        <v>-0.11940200000000001</v>
      </c>
      <c r="G48" s="190">
        <f t="shared" si="34"/>
        <v>4.0924399999999999</v>
      </c>
      <c r="H48" s="190">
        <f t="shared" si="34"/>
        <v>5.1889150000000015</v>
      </c>
      <c r="I48" s="190">
        <f t="shared" si="34"/>
        <v>2.0208649999999997</v>
      </c>
      <c r="J48" s="190">
        <f t="shared" si="34"/>
        <v>3.849119</v>
      </c>
      <c r="K48" s="190">
        <f t="shared" si="34"/>
        <v>-1.8926480000000003</v>
      </c>
      <c r="L48" s="190">
        <f t="shared" si="34"/>
        <v>0.94193700000000025</v>
      </c>
      <c r="M48" s="190">
        <f t="shared" si="34"/>
        <v>9.7409999999999997E-3</v>
      </c>
      <c r="N48" s="16"/>
    </row>
    <row r="49" spans="1:29" x14ac:dyDescent="0.15">
      <c r="A49" s="12" t="s">
        <v>11</v>
      </c>
      <c r="B49" s="13">
        <f>SUM(B37:B48)</f>
        <v>-0.51783100000000015</v>
      </c>
      <c r="H49" s="15"/>
      <c r="I49" s="15"/>
      <c r="J49" s="15"/>
      <c r="L49" s="17"/>
      <c r="M49" s="16"/>
      <c r="N49" s="16"/>
    </row>
    <row r="50" spans="1:29" x14ac:dyDescent="0.15">
      <c r="H50" s="15"/>
      <c r="I50" s="15"/>
      <c r="J50" s="15"/>
      <c r="L50" s="17"/>
      <c r="M50" s="16"/>
      <c r="N50" s="16"/>
    </row>
    <row r="51" spans="1:29" x14ac:dyDescent="0.15">
      <c r="H51" s="15"/>
      <c r="I51" s="15"/>
      <c r="J51" s="15"/>
      <c r="L51" s="17"/>
    </row>
    <row r="52" spans="1:29" x14ac:dyDescent="0.15">
      <c r="H52" s="15"/>
      <c r="I52" s="15"/>
      <c r="J52" s="15"/>
    </row>
    <row r="53" spans="1:29" x14ac:dyDescent="0.15">
      <c r="A53" s="20" t="s">
        <v>33</v>
      </c>
      <c r="P53" s="35" t="s">
        <v>107</v>
      </c>
    </row>
    <row r="54" spans="1:29" ht="28" x14ac:dyDescent="0.15">
      <c r="A54" s="1" t="s">
        <v>23</v>
      </c>
      <c r="B54" s="6" t="s">
        <v>3</v>
      </c>
      <c r="C54" s="6" t="s">
        <v>4</v>
      </c>
      <c r="D54" s="6" t="s">
        <v>5</v>
      </c>
      <c r="E54" s="6" t="s">
        <v>6</v>
      </c>
      <c r="F54" s="6" t="s">
        <v>7</v>
      </c>
      <c r="G54" s="4" t="s">
        <v>14</v>
      </c>
      <c r="H54" s="2" t="s">
        <v>123</v>
      </c>
      <c r="I54" s="4" t="s">
        <v>8</v>
      </c>
      <c r="J54" s="4" t="s">
        <v>17</v>
      </c>
      <c r="K54" s="4" t="s">
        <v>9</v>
      </c>
      <c r="L54" s="4" t="s">
        <v>12</v>
      </c>
      <c r="M54" s="4" t="s">
        <v>10</v>
      </c>
      <c r="N54" s="4" t="s">
        <v>11</v>
      </c>
      <c r="P54" s="1" t="s">
        <v>34</v>
      </c>
      <c r="Q54" s="6" t="s">
        <v>3</v>
      </c>
      <c r="R54" s="6" t="s">
        <v>4</v>
      </c>
      <c r="S54" s="6" t="s">
        <v>5</v>
      </c>
      <c r="T54" s="6" t="s">
        <v>6</v>
      </c>
      <c r="U54" s="6" t="s">
        <v>7</v>
      </c>
      <c r="V54" s="4" t="s">
        <v>14</v>
      </c>
      <c r="W54" s="2" t="s">
        <v>123</v>
      </c>
      <c r="X54" s="4" t="s">
        <v>8</v>
      </c>
      <c r="Y54" s="4" t="s">
        <v>17</v>
      </c>
      <c r="Z54" s="4" t="s">
        <v>9</v>
      </c>
      <c r="AA54" s="4" t="s">
        <v>12</v>
      </c>
      <c r="AB54" s="4" t="s">
        <v>10</v>
      </c>
      <c r="AC54" s="125" t="s">
        <v>11</v>
      </c>
    </row>
    <row r="55" spans="1:29" x14ac:dyDescent="0.15">
      <c r="A55" s="125" t="str">
        <f>P55</f>
        <v>2020-10</v>
      </c>
      <c r="B55" s="124">
        <f>Q55/1024</f>
        <v>200.61159139035504</v>
      </c>
      <c r="C55" s="124">
        <f t="shared" ref="C55:C66" si="35">R55/1024</f>
        <v>1658.5296706777735</v>
      </c>
      <c r="D55" s="124">
        <f t="shared" ref="D55:D66" si="36">S55/1024</f>
        <v>24.08320029137754</v>
      </c>
      <c r="E55" s="124">
        <f t="shared" ref="E55:E66" si="37">T55/1024</f>
        <v>842.70214807332616</v>
      </c>
      <c r="F55" s="124">
        <f t="shared" ref="F55:F66" si="38">U55/1024</f>
        <v>0.98674193945862321</v>
      </c>
      <c r="G55" s="124">
        <f t="shared" ref="G55:G66" si="39">V55/1024</f>
        <v>479.80585314175278</v>
      </c>
      <c r="H55" s="124">
        <f t="shared" ref="H55:H66" si="40">W55/1024</f>
        <v>681.56510024294926</v>
      </c>
      <c r="I55" s="124">
        <f t="shared" ref="I55:I66" si="41">X55/1024</f>
        <v>155.514793939496</v>
      </c>
      <c r="J55" s="124">
        <f t="shared" ref="J55:J66" si="42">Y55/1024</f>
        <v>154.28839394253808</v>
      </c>
      <c r="K55" s="124">
        <f t="shared" ref="K55:K66" si="43">Z55/1024</f>
        <v>16.311078397669824</v>
      </c>
      <c r="L55" s="124">
        <f t="shared" ref="L55:L66" si="44">AA55/1024</f>
        <v>121.95998867007032</v>
      </c>
      <c r="M55" s="124">
        <f t="shared" ref="M55:M66" si="45">AB55/1024</f>
        <v>1.2584115230129005</v>
      </c>
      <c r="N55" s="124">
        <f t="shared" ref="N55:N67" si="46">SUM(B55:M55)</f>
        <v>4337.61697222978</v>
      </c>
      <c r="P55" s="125" t="str">
        <f>P3</f>
        <v>2020-10</v>
      </c>
      <c r="Q55" s="288">
        <v>205426.26958372357</v>
      </c>
      <c r="R55" s="288">
        <v>1698334.3827740401</v>
      </c>
      <c r="S55" s="288">
        <v>24661.197098370601</v>
      </c>
      <c r="T55" s="288">
        <v>862926.99962708598</v>
      </c>
      <c r="U55" s="288">
        <v>1010.4237460056302</v>
      </c>
      <c r="V55" s="288">
        <v>491321.19361715484</v>
      </c>
      <c r="W55" s="288">
        <v>697922.66264878004</v>
      </c>
      <c r="X55" s="288">
        <v>159247.14899404391</v>
      </c>
      <c r="Y55" s="288">
        <v>157991.31539715899</v>
      </c>
      <c r="Z55" s="288">
        <v>16702.5442792139</v>
      </c>
      <c r="AA55" s="288">
        <v>124887.028398152</v>
      </c>
      <c r="AB55" s="288">
        <v>1288.6133995652101</v>
      </c>
      <c r="AC55" s="146">
        <f t="shared" ref="AC55:AC66" si="47">SUM(Q55:AB55)</f>
        <v>4441719.7795632947</v>
      </c>
    </row>
    <row r="56" spans="1:29" x14ac:dyDescent="0.15">
      <c r="A56" s="125" t="str">
        <f t="shared" ref="A56:A66" si="48">P56</f>
        <v>2020-11</v>
      </c>
      <c r="B56" s="124">
        <f t="shared" ref="B56:B66" si="49">Q56/1024</f>
        <v>200.71875178148358</v>
      </c>
      <c r="C56" s="124">
        <f t="shared" si="35"/>
        <v>2011.0939426624805</v>
      </c>
      <c r="D56" s="124">
        <f t="shared" si="36"/>
        <v>21.101547986727343</v>
      </c>
      <c r="E56" s="124">
        <f t="shared" si="37"/>
        <v>557.75716688066893</v>
      </c>
      <c r="F56" s="124">
        <f t="shared" si="38"/>
        <v>4.0479745477523412</v>
      </c>
      <c r="G56" s="124">
        <f t="shared" si="39"/>
        <v>634.82874583821376</v>
      </c>
      <c r="H56" s="124">
        <f t="shared" si="40"/>
        <v>606.15126476213766</v>
      </c>
      <c r="I56" s="124">
        <f t="shared" si="41"/>
        <v>83.263693100071507</v>
      </c>
      <c r="J56" s="124">
        <f t="shared" si="42"/>
        <v>119.33580639122852</v>
      </c>
      <c r="K56" s="124">
        <f t="shared" si="43"/>
        <v>31.515457306969452</v>
      </c>
      <c r="L56" s="124">
        <f t="shared" si="44"/>
        <v>88.949729670511232</v>
      </c>
      <c r="M56" s="124">
        <f t="shared" si="45"/>
        <v>1.2538917668562108</v>
      </c>
      <c r="N56" s="124">
        <f t="shared" si="46"/>
        <v>4360.017972695101</v>
      </c>
      <c r="P56" s="125" t="str">
        <f t="shared" ref="P56:P66" si="50">P4</f>
        <v>2020-11</v>
      </c>
      <c r="Q56" s="288">
        <v>205536.00182423918</v>
      </c>
      <c r="R56" s="288">
        <v>2059360.19728638</v>
      </c>
      <c r="S56" s="288">
        <v>21607.9851384088</v>
      </c>
      <c r="T56" s="288">
        <v>571143.33888580499</v>
      </c>
      <c r="U56" s="288">
        <v>4145.1259368983974</v>
      </c>
      <c r="V56" s="288">
        <v>650064.63573833089</v>
      </c>
      <c r="W56" s="288">
        <v>620698.89511642896</v>
      </c>
      <c r="X56" s="288">
        <v>85262.021734473223</v>
      </c>
      <c r="Y56" s="288">
        <v>122199.865744618</v>
      </c>
      <c r="Z56" s="288">
        <v>32271.828282336719</v>
      </c>
      <c r="AA56" s="288">
        <v>91084.523182603501</v>
      </c>
      <c r="AB56" s="288">
        <v>1283.9851692607599</v>
      </c>
      <c r="AC56" s="146">
        <f t="shared" si="47"/>
        <v>4464658.4040397834</v>
      </c>
    </row>
    <row r="57" spans="1:29" x14ac:dyDescent="0.15">
      <c r="A57" s="125" t="str">
        <f t="shared" si="48"/>
        <v>2020-12</v>
      </c>
      <c r="B57" s="124">
        <f t="shared" si="49"/>
        <v>267.59129789474042</v>
      </c>
      <c r="C57" s="124">
        <f t="shared" si="35"/>
        <v>1729.4871801324512</v>
      </c>
      <c r="D57" s="124">
        <f t="shared" si="36"/>
        <v>20.462214125959669</v>
      </c>
      <c r="E57" s="124">
        <f t="shared" si="37"/>
        <v>632.1004103871104</v>
      </c>
      <c r="F57" s="124">
        <f t="shared" si="38"/>
        <v>1.2273086456689175</v>
      </c>
      <c r="G57" s="124">
        <f t="shared" si="39"/>
        <v>405.82355414472687</v>
      </c>
      <c r="H57" s="124">
        <f t="shared" si="40"/>
        <v>921.41037547034762</v>
      </c>
      <c r="I57" s="124">
        <f t="shared" si="41"/>
        <v>163.16774417863877</v>
      </c>
      <c r="J57" s="124">
        <f t="shared" si="42"/>
        <v>132.55698273176856</v>
      </c>
      <c r="K57" s="124">
        <f t="shared" si="43"/>
        <v>37.455422677044027</v>
      </c>
      <c r="L57" s="124">
        <f t="shared" si="44"/>
        <v>105.9672377060586</v>
      </c>
      <c r="M57" s="124">
        <f t="shared" si="45"/>
        <v>1.0677262469116602</v>
      </c>
      <c r="N57" s="124">
        <f t="shared" si="46"/>
        <v>4418.317454341427</v>
      </c>
      <c r="P57" s="125" t="str">
        <f t="shared" si="50"/>
        <v>2020-12</v>
      </c>
      <c r="Q57" s="288">
        <v>274013.48904421419</v>
      </c>
      <c r="R57" s="288">
        <v>1770994.87245563</v>
      </c>
      <c r="S57" s="288">
        <v>20953.307264982701</v>
      </c>
      <c r="T57" s="288">
        <v>647270.82023640105</v>
      </c>
      <c r="U57" s="288">
        <v>1256.7640531649715</v>
      </c>
      <c r="V57" s="288">
        <v>415563.31944420032</v>
      </c>
      <c r="W57" s="288">
        <v>943524.22448163596</v>
      </c>
      <c r="X57" s="288">
        <v>167083.7700389261</v>
      </c>
      <c r="Y57" s="288">
        <v>135738.350317331</v>
      </c>
      <c r="Z57" s="288">
        <v>38354.352821293083</v>
      </c>
      <c r="AA57" s="288">
        <v>108510.451411004</v>
      </c>
      <c r="AB57" s="288">
        <v>1093.35167683754</v>
      </c>
      <c r="AC57" s="146">
        <f t="shared" si="47"/>
        <v>4524357.0732456213</v>
      </c>
    </row>
    <row r="58" spans="1:29" x14ac:dyDescent="0.15">
      <c r="A58" s="125" t="str">
        <f t="shared" si="48"/>
        <v>2021-01</v>
      </c>
      <c r="B58" s="124">
        <f t="shared" si="49"/>
        <v>695.17225749411182</v>
      </c>
      <c r="C58" s="124">
        <f t="shared" si="35"/>
        <v>1492.1915502407323</v>
      </c>
      <c r="D58" s="124">
        <f t="shared" si="36"/>
        <v>24.802417135612792</v>
      </c>
      <c r="E58" s="124">
        <f t="shared" si="37"/>
        <v>631.07452337049222</v>
      </c>
      <c r="F58" s="124">
        <f t="shared" si="38"/>
        <v>0.85026801076401148</v>
      </c>
      <c r="G58" s="124">
        <f t="shared" si="39"/>
        <v>367.14307840452852</v>
      </c>
      <c r="H58" s="124">
        <f t="shared" si="40"/>
        <v>1129.6985465620019</v>
      </c>
      <c r="I58" s="124">
        <f t="shared" si="41"/>
        <v>118.13349760351797</v>
      </c>
      <c r="J58" s="124">
        <f t="shared" si="42"/>
        <v>145.02596537049806</v>
      </c>
      <c r="K58" s="124">
        <f t="shared" si="43"/>
        <v>67.515209404398163</v>
      </c>
      <c r="L58" s="124">
        <f t="shared" si="44"/>
        <v>109.12073888403027</v>
      </c>
      <c r="M58" s="124">
        <f t="shared" si="45"/>
        <v>1.1210442561587108</v>
      </c>
      <c r="N58" s="124">
        <f t="shared" si="46"/>
        <v>4781.8490967368461</v>
      </c>
      <c r="P58" s="125" t="str">
        <f t="shared" si="50"/>
        <v>2021-01</v>
      </c>
      <c r="Q58" s="288">
        <v>711856.3916739705</v>
      </c>
      <c r="R58" s="288">
        <v>1528004.1474465099</v>
      </c>
      <c r="S58" s="288">
        <v>25397.675146867499</v>
      </c>
      <c r="T58" s="288">
        <v>646220.31193138403</v>
      </c>
      <c r="U58" s="288">
        <v>870.67444302234776</v>
      </c>
      <c r="V58" s="288">
        <v>375954.51228623721</v>
      </c>
      <c r="W58" s="288">
        <v>1156811.3116794899</v>
      </c>
      <c r="X58" s="288">
        <v>120968.7015460024</v>
      </c>
      <c r="Y58" s="288">
        <v>148506.58853939001</v>
      </c>
      <c r="Z58" s="288">
        <v>69135.574430103719</v>
      </c>
      <c r="AA58" s="288">
        <v>111739.636617247</v>
      </c>
      <c r="AB58" s="288">
        <v>1147.9493183065199</v>
      </c>
      <c r="AC58" s="146">
        <f t="shared" si="47"/>
        <v>4896613.4750585305</v>
      </c>
    </row>
    <row r="59" spans="1:29" x14ac:dyDescent="0.15">
      <c r="A59" s="125" t="str">
        <f t="shared" si="48"/>
        <v>2021-02</v>
      </c>
      <c r="B59" s="124">
        <f t="shared" si="49"/>
        <v>209.28489200197146</v>
      </c>
      <c r="C59" s="124">
        <f t="shared" si="35"/>
        <v>1607.1430255885741</v>
      </c>
      <c r="D59" s="124">
        <f t="shared" si="36"/>
        <v>20.070139676059572</v>
      </c>
      <c r="E59" s="124">
        <f t="shared" si="37"/>
        <v>794.60540750280472</v>
      </c>
      <c r="F59" s="124">
        <f t="shared" si="38"/>
        <v>1.2934720416233105</v>
      </c>
      <c r="G59" s="124">
        <f t="shared" si="39"/>
        <v>400.81966538290311</v>
      </c>
      <c r="H59" s="124">
        <f t="shared" si="40"/>
        <v>888.7973685413242</v>
      </c>
      <c r="I59" s="124">
        <f t="shared" si="41"/>
        <v>131.91894643851433</v>
      </c>
      <c r="J59" s="124">
        <f t="shared" si="42"/>
        <v>134.46902252654979</v>
      </c>
      <c r="K59" s="124">
        <f t="shared" si="43"/>
        <v>50.551849821321618</v>
      </c>
      <c r="L59" s="124">
        <f t="shared" si="44"/>
        <v>92.802073844733002</v>
      </c>
      <c r="M59" s="124">
        <f t="shared" si="45"/>
        <v>1.0649237417683204</v>
      </c>
      <c r="N59" s="124">
        <f t="shared" si="46"/>
        <v>4332.8207871081477</v>
      </c>
      <c r="P59" s="125" t="str">
        <f t="shared" si="50"/>
        <v>2021-02</v>
      </c>
      <c r="Q59" s="288">
        <v>214307.72941001877</v>
      </c>
      <c r="R59" s="288">
        <v>1645714.4582026999</v>
      </c>
      <c r="S59" s="288">
        <v>20551.823028285002</v>
      </c>
      <c r="T59" s="288">
        <v>813675.93728287204</v>
      </c>
      <c r="U59" s="288">
        <v>1324.51537062227</v>
      </c>
      <c r="V59" s="288">
        <v>410439.33735209279</v>
      </c>
      <c r="W59" s="288">
        <v>910128.50538631598</v>
      </c>
      <c r="X59" s="288">
        <v>135085.00115303867</v>
      </c>
      <c r="Y59" s="288">
        <v>137696.27906718699</v>
      </c>
      <c r="Z59" s="288">
        <v>51765.094217033336</v>
      </c>
      <c r="AA59" s="288">
        <v>95029.323617006594</v>
      </c>
      <c r="AB59" s="288">
        <v>1090.4819115707601</v>
      </c>
      <c r="AC59" s="146">
        <f t="shared" si="47"/>
        <v>4436808.4859987432</v>
      </c>
    </row>
    <row r="60" spans="1:29" x14ac:dyDescent="0.15">
      <c r="A60" s="125" t="str">
        <f t="shared" si="48"/>
        <v>2021-03</v>
      </c>
      <c r="B60" s="124">
        <f t="shared" si="49"/>
        <v>341.27943739232944</v>
      </c>
      <c r="C60" s="124">
        <f t="shared" si="35"/>
        <v>1668.2341722254091</v>
      </c>
      <c r="D60" s="124">
        <f t="shared" si="36"/>
        <v>24.72651910323291</v>
      </c>
      <c r="E60" s="124">
        <f t="shared" si="37"/>
        <v>668.78159429692778</v>
      </c>
      <c r="F60" s="124">
        <f t="shared" si="38"/>
        <v>0.50655335445208005</v>
      </c>
      <c r="G60" s="124">
        <f t="shared" si="39"/>
        <v>343.61430023741769</v>
      </c>
      <c r="H60" s="124">
        <f t="shared" si="40"/>
        <v>955.538031365292</v>
      </c>
      <c r="I60" s="124">
        <f t="shared" si="41"/>
        <v>158.71003933454264</v>
      </c>
      <c r="J60" s="124">
        <f t="shared" si="42"/>
        <v>166.95849900373241</v>
      </c>
      <c r="K60" s="124">
        <f t="shared" si="43"/>
        <v>45.55157480792635</v>
      </c>
      <c r="L60" s="124">
        <f t="shared" si="44"/>
        <v>176.31541218290877</v>
      </c>
      <c r="M60" s="124">
        <f t="shared" si="45"/>
        <v>1.8998092041310839</v>
      </c>
      <c r="N60" s="124">
        <f t="shared" si="46"/>
        <v>4552.1159425083015</v>
      </c>
      <c r="P60" s="125" t="str">
        <f t="shared" si="50"/>
        <v>2021-03</v>
      </c>
      <c r="Q60" s="288">
        <v>349470.14388974535</v>
      </c>
      <c r="R60" s="288">
        <v>1708271.7923588189</v>
      </c>
      <c r="S60" s="288">
        <v>25319.9555617105</v>
      </c>
      <c r="T60" s="288">
        <v>684832.35256005405</v>
      </c>
      <c r="U60" s="288">
        <v>518.71063495892997</v>
      </c>
      <c r="V60" s="288">
        <v>351861.04344311572</v>
      </c>
      <c r="W60" s="288">
        <v>978470.94411805901</v>
      </c>
      <c r="X60" s="288">
        <v>162519.08027857167</v>
      </c>
      <c r="Y60" s="288">
        <v>170965.50297982199</v>
      </c>
      <c r="Z60" s="288">
        <v>46644.812603316583</v>
      </c>
      <c r="AA60" s="288">
        <v>180546.98207529858</v>
      </c>
      <c r="AB60" s="288">
        <v>1945.4046250302299</v>
      </c>
      <c r="AC60" s="146">
        <f t="shared" si="47"/>
        <v>4661366.7251285007</v>
      </c>
    </row>
    <row r="61" spans="1:29" x14ac:dyDescent="0.15">
      <c r="A61" s="125" t="str">
        <f t="shared" si="48"/>
        <v>2021-04</v>
      </c>
      <c r="B61" s="124">
        <f t="shared" si="49"/>
        <v>182.11402089427773</v>
      </c>
      <c r="C61" s="124">
        <f t="shared" si="35"/>
        <v>2416.1852312592505</v>
      </c>
      <c r="D61" s="124">
        <f t="shared" si="36"/>
        <v>27.244848278633885</v>
      </c>
      <c r="E61" s="124">
        <f t="shared" si="37"/>
        <v>681.98499755329078</v>
      </c>
      <c r="F61" s="124">
        <f t="shared" si="38"/>
        <v>2.5504033996539843</v>
      </c>
      <c r="G61" s="124">
        <f t="shared" si="39"/>
        <v>488.72252712211838</v>
      </c>
      <c r="H61" s="124">
        <f t="shared" si="40"/>
        <v>1019.9380297092969</v>
      </c>
      <c r="I61" s="124">
        <f t="shared" si="41"/>
        <v>239.81830874273777</v>
      </c>
      <c r="J61" s="124">
        <f t="shared" si="42"/>
        <v>210.7083722304414</v>
      </c>
      <c r="K61" s="124">
        <f t="shared" si="43"/>
        <v>53.441582660857279</v>
      </c>
      <c r="L61" s="124">
        <f t="shared" si="44"/>
        <v>114.92129626333022</v>
      </c>
      <c r="M61" s="124">
        <f t="shared" si="45"/>
        <v>1.3575658756653808</v>
      </c>
      <c r="N61" s="124">
        <f t="shared" si="46"/>
        <v>5438.9871839895541</v>
      </c>
      <c r="P61" s="125" t="str">
        <f t="shared" si="50"/>
        <v>2021-04</v>
      </c>
      <c r="Q61" s="288">
        <v>186484.75739574039</v>
      </c>
      <c r="R61" s="288">
        <v>2474173.6768094725</v>
      </c>
      <c r="S61" s="288">
        <v>27898.724637321098</v>
      </c>
      <c r="T61" s="288">
        <v>698352.63749456976</v>
      </c>
      <c r="U61" s="288">
        <v>2611.61308124568</v>
      </c>
      <c r="V61" s="288">
        <v>500451.86777304922</v>
      </c>
      <c r="W61" s="288">
        <v>1044416.54242232</v>
      </c>
      <c r="X61" s="288">
        <v>245573.94815256348</v>
      </c>
      <c r="Y61" s="288">
        <v>215765.37316397199</v>
      </c>
      <c r="Z61" s="288">
        <v>54724.180644717853</v>
      </c>
      <c r="AA61" s="288">
        <v>117679.40737365015</v>
      </c>
      <c r="AB61" s="288">
        <v>1390.1474566813499</v>
      </c>
      <c r="AC61" s="146">
        <f t="shared" si="47"/>
        <v>5569522.8764053034</v>
      </c>
    </row>
    <row r="62" spans="1:29" x14ac:dyDescent="0.15">
      <c r="A62" s="125" t="str">
        <f t="shared" si="48"/>
        <v>2021-05</v>
      </c>
      <c r="B62" s="124">
        <f t="shared" si="49"/>
        <v>181.57357393013629</v>
      </c>
      <c r="C62" s="124">
        <f t="shared" si="35"/>
        <v>6001.4292104169017</v>
      </c>
      <c r="D62" s="124">
        <f t="shared" si="36"/>
        <v>22.037812518637111</v>
      </c>
      <c r="E62" s="124">
        <f t="shared" si="37"/>
        <v>756.85865984127906</v>
      </c>
      <c r="F62" s="124">
        <f t="shared" si="38"/>
        <v>1.1338617837300196</v>
      </c>
      <c r="G62" s="124">
        <f t="shared" si="39"/>
        <v>491.28607228545479</v>
      </c>
      <c r="H62" s="124">
        <f t="shared" si="40"/>
        <v>877.20953277347269</v>
      </c>
      <c r="I62" s="124">
        <f t="shared" si="41"/>
        <v>136.31240638800006</v>
      </c>
      <c r="J62" s="124">
        <f t="shared" si="42"/>
        <v>109.02377782843652</v>
      </c>
      <c r="K62" s="124">
        <f t="shared" si="43"/>
        <v>66.435347688542663</v>
      </c>
      <c r="L62" s="124">
        <f t="shared" si="44"/>
        <v>113.53110446292098</v>
      </c>
      <c r="M62" s="124">
        <f t="shared" si="45"/>
        <v>1.1594479302102538</v>
      </c>
      <c r="N62" s="124">
        <f t="shared" si="46"/>
        <v>8757.9908078477238</v>
      </c>
      <c r="P62" s="125" t="str">
        <f t="shared" si="50"/>
        <v>2021-05</v>
      </c>
      <c r="Q62" s="288">
        <v>185931.33970445956</v>
      </c>
      <c r="R62" s="288">
        <v>6145463.5114669073</v>
      </c>
      <c r="S62" s="288">
        <v>22566.720019084401</v>
      </c>
      <c r="T62" s="288">
        <v>775023.26767746976</v>
      </c>
      <c r="U62" s="288">
        <v>1161.07446653954</v>
      </c>
      <c r="V62" s="288">
        <v>503076.93802030571</v>
      </c>
      <c r="W62" s="288">
        <v>898262.56156003603</v>
      </c>
      <c r="X62" s="288">
        <v>139583.90414131206</v>
      </c>
      <c r="Y62" s="288">
        <v>111640.348496319</v>
      </c>
      <c r="Z62" s="288">
        <v>68029.796033067687</v>
      </c>
      <c r="AA62" s="288">
        <v>116255.85097003108</v>
      </c>
      <c r="AB62" s="288">
        <v>1187.2746805352999</v>
      </c>
      <c r="AC62" s="146">
        <f t="shared" si="47"/>
        <v>8968182.5872360691</v>
      </c>
    </row>
    <row r="63" spans="1:29" x14ac:dyDescent="0.15">
      <c r="A63" s="125" t="str">
        <f t="shared" si="48"/>
        <v>2021-06</v>
      </c>
      <c r="B63" s="124">
        <f t="shared" si="49"/>
        <v>188.56635468354321</v>
      </c>
      <c r="C63" s="124">
        <f t="shared" si="35"/>
        <v>1402.68783197316</v>
      </c>
      <c r="D63" s="124">
        <f t="shared" si="36"/>
        <v>29.3027047660125</v>
      </c>
      <c r="E63" s="124">
        <f t="shared" si="37"/>
        <v>701.70169229376927</v>
      </c>
      <c r="F63" s="124">
        <f t="shared" si="38"/>
        <v>0.68045948806229684</v>
      </c>
      <c r="G63" s="124">
        <f t="shared" si="39"/>
        <v>584.4888956561133</v>
      </c>
      <c r="H63" s="124">
        <f t="shared" si="40"/>
        <v>1058.3821870670704</v>
      </c>
      <c r="I63" s="124">
        <f t="shared" si="41"/>
        <v>118.90081451166634</v>
      </c>
      <c r="J63" s="124">
        <f t="shared" si="42"/>
        <v>162.86417010915625</v>
      </c>
      <c r="K63" s="124">
        <f t="shared" si="43"/>
        <v>49.104086963296808</v>
      </c>
      <c r="L63" s="124">
        <f t="shared" si="44"/>
        <v>111.24232450475594</v>
      </c>
      <c r="M63" s="124">
        <f t="shared" si="45"/>
        <v>2.1182515743721484</v>
      </c>
      <c r="N63" s="124">
        <f t="shared" si="46"/>
        <v>4410.0397735909792</v>
      </c>
      <c r="P63" s="125" t="str">
        <f t="shared" si="50"/>
        <v>2021-06</v>
      </c>
      <c r="Q63" s="288">
        <v>193091.94719594825</v>
      </c>
      <c r="R63" s="288">
        <v>1436352.3399405158</v>
      </c>
      <c r="S63" s="288">
        <v>30005.9696803968</v>
      </c>
      <c r="T63" s="288">
        <v>718542.53290881973</v>
      </c>
      <c r="U63" s="288">
        <v>696.79051577579196</v>
      </c>
      <c r="V63" s="288">
        <v>598516.62915186002</v>
      </c>
      <c r="W63" s="288">
        <v>1083783.3595566801</v>
      </c>
      <c r="X63" s="288">
        <v>121754.43405994633</v>
      </c>
      <c r="Y63" s="288">
        <v>166772.910191776</v>
      </c>
      <c r="Z63" s="288">
        <v>50282.585050415932</v>
      </c>
      <c r="AA63" s="288">
        <v>113912.14029287008</v>
      </c>
      <c r="AB63" s="288">
        <v>2169.08961215708</v>
      </c>
      <c r="AC63" s="146">
        <f t="shared" si="47"/>
        <v>4515880.7281571627</v>
      </c>
    </row>
    <row r="64" spans="1:29" x14ac:dyDescent="0.15">
      <c r="A64" s="125" t="str">
        <f t="shared" si="48"/>
        <v>2021-07</v>
      </c>
      <c r="B64" s="124">
        <f t="shared" si="49"/>
        <v>272.66259614403481</v>
      </c>
      <c r="C64" s="124">
        <f t="shared" si="35"/>
        <v>2381.209812764057</v>
      </c>
      <c r="D64" s="124">
        <f t="shared" si="36"/>
        <v>18.860353436312792</v>
      </c>
      <c r="E64" s="124">
        <f t="shared" si="37"/>
        <v>693.31601487205762</v>
      </c>
      <c r="F64" s="124">
        <f t="shared" si="38"/>
        <v>0.55591778813777637</v>
      </c>
      <c r="G64" s="124">
        <f t="shared" si="39"/>
        <v>390.91724634317313</v>
      </c>
      <c r="H64" s="124">
        <f t="shared" si="40"/>
        <v>1097.2239418408985</v>
      </c>
      <c r="I64" s="124">
        <f t="shared" si="41"/>
        <v>105.66991571514555</v>
      </c>
      <c r="J64" s="124">
        <f t="shared" si="42"/>
        <v>283.92257903790818</v>
      </c>
      <c r="K64" s="124">
        <f t="shared" si="43"/>
        <v>33.705370867813123</v>
      </c>
      <c r="L64" s="124">
        <f t="shared" si="44"/>
        <v>175.19437122706341</v>
      </c>
      <c r="M64" s="124">
        <f t="shared" si="45"/>
        <v>2.1327726191202538</v>
      </c>
      <c r="N64" s="124">
        <f t="shared" si="46"/>
        <v>5455.3708926557219</v>
      </c>
      <c r="P64" s="125" t="str">
        <f t="shared" si="50"/>
        <v>2021-07</v>
      </c>
      <c r="Q64" s="288">
        <v>279206.49845149164</v>
      </c>
      <c r="R64" s="288">
        <v>2438358.8482703944</v>
      </c>
      <c r="S64" s="288">
        <v>19313.001918784299</v>
      </c>
      <c r="T64" s="288">
        <v>709955.599228987</v>
      </c>
      <c r="U64" s="288">
        <v>569.259815053083</v>
      </c>
      <c r="V64" s="288">
        <v>400299.26025540929</v>
      </c>
      <c r="W64" s="288">
        <v>1123557.3164450801</v>
      </c>
      <c r="X64" s="288">
        <v>108205.99369230904</v>
      </c>
      <c r="Y64" s="288">
        <v>290736.72093481797</v>
      </c>
      <c r="Z64" s="288">
        <v>34514.299768640638</v>
      </c>
      <c r="AA64" s="288">
        <v>179399.03613651294</v>
      </c>
      <c r="AB64" s="288">
        <v>2183.9591619791399</v>
      </c>
      <c r="AC64" s="146">
        <f t="shared" si="47"/>
        <v>5586299.7940794593</v>
      </c>
    </row>
    <row r="65" spans="1:29" x14ac:dyDescent="0.15">
      <c r="A65" s="125" t="str">
        <f t="shared" si="48"/>
        <v>2021-08</v>
      </c>
      <c r="B65" s="124">
        <f t="shared" si="49"/>
        <v>120.04786500263509</v>
      </c>
      <c r="C65" s="124">
        <f t="shared" si="35"/>
        <v>1862.5428905881986</v>
      </c>
      <c r="D65" s="124">
        <f t="shared" si="36"/>
        <v>20.189945428481153</v>
      </c>
      <c r="E65" s="124">
        <f t="shared" si="37"/>
        <v>599.35205072382291</v>
      </c>
      <c r="F65" s="124">
        <f t="shared" si="38"/>
        <v>0.90358781913255271</v>
      </c>
      <c r="G65" s="124">
        <f t="shared" si="39"/>
        <v>434.39312542853486</v>
      </c>
      <c r="H65" s="124">
        <f t="shared" si="40"/>
        <v>809.0545187598027</v>
      </c>
      <c r="I65" s="124">
        <f t="shared" si="41"/>
        <v>70.900756146144801</v>
      </c>
      <c r="J65" s="124">
        <f t="shared" si="42"/>
        <v>302.95626536331349</v>
      </c>
      <c r="K65" s="124">
        <f t="shared" si="43"/>
        <v>50.327555613130372</v>
      </c>
      <c r="L65" s="124">
        <f t="shared" si="44"/>
        <v>117.7003805649955</v>
      </c>
      <c r="M65" s="124">
        <f t="shared" si="45"/>
        <v>1.8833715661448829</v>
      </c>
      <c r="N65" s="124">
        <f t="shared" si="46"/>
        <v>4390.2523130043373</v>
      </c>
      <c r="P65" s="125" t="str">
        <f t="shared" si="50"/>
        <v>2021-08</v>
      </c>
      <c r="Q65" s="288">
        <v>122929.01376269833</v>
      </c>
      <c r="R65" s="288">
        <v>1907243.9199623154</v>
      </c>
      <c r="S65" s="288">
        <v>20674.5041187647</v>
      </c>
      <c r="T65" s="288">
        <v>613736.49994119466</v>
      </c>
      <c r="U65" s="288">
        <v>925.27392679173397</v>
      </c>
      <c r="V65" s="288">
        <v>444818.5604388197</v>
      </c>
      <c r="W65" s="288">
        <v>828471.82721003797</v>
      </c>
      <c r="X65" s="288">
        <v>72602.374293652276</v>
      </c>
      <c r="Y65" s="288">
        <v>310227.21573203302</v>
      </c>
      <c r="Z65" s="288">
        <v>51535.416947845501</v>
      </c>
      <c r="AA65" s="288">
        <v>120525.18969855539</v>
      </c>
      <c r="AB65" s="288">
        <v>1928.5724837323601</v>
      </c>
      <c r="AC65" s="146">
        <f t="shared" si="47"/>
        <v>4495618.3685164414</v>
      </c>
    </row>
    <row r="66" spans="1:29" x14ac:dyDescent="0.15">
      <c r="A66" s="125" t="str">
        <f t="shared" si="48"/>
        <v>2021-09</v>
      </c>
      <c r="B66" s="124">
        <f t="shared" si="49"/>
        <v>304.71654926634164</v>
      </c>
      <c r="C66" s="124">
        <f t="shared" si="35"/>
        <v>1947.3422866156541</v>
      </c>
      <c r="D66" s="124">
        <f t="shared" si="36"/>
        <v>23.149861612185255</v>
      </c>
      <c r="E66" s="124">
        <f t="shared" si="37"/>
        <v>636.10303779349499</v>
      </c>
      <c r="F66" s="124">
        <f t="shared" si="38"/>
        <v>0.72153369774423437</v>
      </c>
      <c r="G66" s="124">
        <f t="shared" si="39"/>
        <v>541.73083937585568</v>
      </c>
      <c r="H66" s="124">
        <f t="shared" si="40"/>
        <v>904.53705961339165</v>
      </c>
      <c r="I66" s="124">
        <f t="shared" si="41"/>
        <v>180.4524690531579</v>
      </c>
      <c r="J66" s="124">
        <f t="shared" si="42"/>
        <v>150.36662028098633</v>
      </c>
      <c r="K66" s="124">
        <f t="shared" si="43"/>
        <v>81.891626628047462</v>
      </c>
      <c r="L66" s="124">
        <f t="shared" si="44"/>
        <v>119.04836398187412</v>
      </c>
      <c r="M66" s="124">
        <f t="shared" si="45"/>
        <v>2.2505693430111915</v>
      </c>
      <c r="N66" s="124">
        <f t="shared" si="46"/>
        <v>4892.3108172617449</v>
      </c>
      <c r="P66" s="125" t="str">
        <f t="shared" si="50"/>
        <v>2021-09</v>
      </c>
      <c r="Q66" s="288">
        <v>312029.74644873384</v>
      </c>
      <c r="R66" s="288">
        <v>1994078.5014944298</v>
      </c>
      <c r="S66" s="288">
        <v>23705.458290877701</v>
      </c>
      <c r="T66" s="288">
        <v>651369.51070053887</v>
      </c>
      <c r="U66" s="288">
        <v>738.850506490096</v>
      </c>
      <c r="V66" s="288">
        <v>554732.37952087622</v>
      </c>
      <c r="W66" s="288">
        <v>926245.94904411305</v>
      </c>
      <c r="X66" s="288">
        <v>184783.32831043369</v>
      </c>
      <c r="Y66" s="288">
        <v>153975.41916773</v>
      </c>
      <c r="Z66" s="288">
        <v>83857.025667120601</v>
      </c>
      <c r="AA66" s="288">
        <v>121905.5247174391</v>
      </c>
      <c r="AB66" s="288">
        <v>2304.5830072434601</v>
      </c>
      <c r="AC66" s="146">
        <f t="shared" si="47"/>
        <v>5009726.2768760268</v>
      </c>
    </row>
    <row r="67" spans="1:29" x14ac:dyDescent="0.15">
      <c r="A67" s="126" t="s">
        <v>15</v>
      </c>
      <c r="B67" s="124">
        <f>SUM(B55:B66)</f>
        <v>3164.3391878759608</v>
      </c>
      <c r="C67" s="124">
        <f t="shared" ref="C67:M67" si="51">SUM(C55:C66)</f>
        <v>26178.076805144643</v>
      </c>
      <c r="D67" s="124">
        <f t="shared" si="51"/>
        <v>276.03156435923256</v>
      </c>
      <c r="E67" s="124">
        <f t="shared" si="51"/>
        <v>8196.3377035890444</v>
      </c>
      <c r="F67" s="124">
        <f t="shared" si="51"/>
        <v>15.458082516180147</v>
      </c>
      <c r="G67" s="124">
        <f t="shared" si="51"/>
        <v>5563.5739033607933</v>
      </c>
      <c r="H67" s="124">
        <f t="shared" si="51"/>
        <v>10949.505956707984</v>
      </c>
      <c r="I67" s="124">
        <f t="shared" si="51"/>
        <v>1662.7633851516339</v>
      </c>
      <c r="J67" s="124">
        <f t="shared" si="51"/>
        <v>2072.4764548165576</v>
      </c>
      <c r="K67" s="124">
        <f t="shared" si="51"/>
        <v>583.80616283701715</v>
      </c>
      <c r="L67" s="124">
        <f t="shared" si="51"/>
        <v>1446.7530219632524</v>
      </c>
      <c r="M67" s="124">
        <f t="shared" si="51"/>
        <v>18.567785647362996</v>
      </c>
      <c r="N67" s="124">
        <f t="shared" si="46"/>
        <v>60127.690013969681</v>
      </c>
      <c r="P67" s="126" t="s">
        <v>15</v>
      </c>
      <c r="Q67" s="146">
        <f>SUM(Q55:Q66)</f>
        <v>3240283.3283849838</v>
      </c>
      <c r="R67" s="146">
        <f t="shared" ref="R67:AC67" si="52">SUM(R55:R66)</f>
        <v>26806350.648468114</v>
      </c>
      <c r="S67" s="146">
        <f t="shared" si="52"/>
        <v>282656.32190385414</v>
      </c>
      <c r="T67" s="146">
        <f t="shared" si="52"/>
        <v>8393049.8084751815</v>
      </c>
      <c r="U67" s="146">
        <f t="shared" si="52"/>
        <v>15829.07649656847</v>
      </c>
      <c r="V67" s="146">
        <f t="shared" si="52"/>
        <v>5697099.6770414524</v>
      </c>
      <c r="W67" s="146">
        <f t="shared" si="52"/>
        <v>11212294.099668976</v>
      </c>
      <c r="X67" s="146">
        <f t="shared" si="52"/>
        <v>1702669.7063952731</v>
      </c>
      <c r="Y67" s="146">
        <f t="shared" si="52"/>
        <v>2122215.889732155</v>
      </c>
      <c r="Z67" s="146">
        <f t="shared" si="52"/>
        <v>597817.51074510557</v>
      </c>
      <c r="AA67" s="146">
        <f t="shared" si="52"/>
        <v>1481475.0944903705</v>
      </c>
      <c r="AB67" s="146">
        <f t="shared" si="52"/>
        <v>19013.412502899708</v>
      </c>
      <c r="AC67" s="146">
        <f t="shared" si="52"/>
        <v>61570754.574304931</v>
      </c>
    </row>
    <row r="68" spans="1:29" x14ac:dyDescent="0.15">
      <c r="A68" s="128" t="s">
        <v>29</v>
      </c>
      <c r="B68" s="127">
        <f>AVERAGE(B55:B66)</f>
        <v>263.69493232299675</v>
      </c>
      <c r="C68" s="127">
        <f t="shared" ref="C68:M68" si="53">AVERAGE(C55:C66)</f>
        <v>2181.5064004287201</v>
      </c>
      <c r="D68" s="127">
        <f t="shared" si="53"/>
        <v>23.002630363269379</v>
      </c>
      <c r="E68" s="127">
        <f t="shared" si="53"/>
        <v>683.02814196575366</v>
      </c>
      <c r="F68" s="127">
        <f t="shared" si="53"/>
        <v>1.2881735430150123</v>
      </c>
      <c r="G68" s="127">
        <f t="shared" si="53"/>
        <v>463.63115861339946</v>
      </c>
      <c r="H68" s="127">
        <f t="shared" si="53"/>
        <v>912.4588297256654</v>
      </c>
      <c r="I68" s="127">
        <f t="shared" si="53"/>
        <v>138.56361542930281</v>
      </c>
      <c r="J68" s="127">
        <f t="shared" si="53"/>
        <v>172.70637123471315</v>
      </c>
      <c r="K68" s="127">
        <f t="shared" si="53"/>
        <v>48.650513569751432</v>
      </c>
      <c r="L68" s="127">
        <f t="shared" si="53"/>
        <v>120.56275183027104</v>
      </c>
      <c r="M68" s="127">
        <f t="shared" si="53"/>
        <v>1.547315470613583</v>
      </c>
    </row>
    <row r="69" spans="1:29" x14ac:dyDescent="0.15">
      <c r="A69" s="290" t="s">
        <v>189</v>
      </c>
      <c r="B69" s="289">
        <v>2427.3425886308532</v>
      </c>
      <c r="C69" s="289">
        <v>15479.991969146842</v>
      </c>
      <c r="D69" s="289">
        <v>356.48163042754214</v>
      </c>
      <c r="E69" s="289">
        <v>7198.7309283590685</v>
      </c>
      <c r="F69" s="289">
        <v>15.774109394924338</v>
      </c>
      <c r="G69" s="289">
        <v>4295.675914706997</v>
      </c>
      <c r="H69" s="289">
        <v>9482.8015255586179</v>
      </c>
      <c r="I69" s="289">
        <v>1391.6840914633183</v>
      </c>
      <c r="J69" s="289">
        <v>2258.0962122898009</v>
      </c>
      <c r="K69" s="289">
        <v>275.63115082560773</v>
      </c>
      <c r="L69" s="289">
        <v>946.38637886907759</v>
      </c>
      <c r="M69" s="289">
        <v>14.656736233481688</v>
      </c>
      <c r="N69" s="124">
        <f>SUM(B69:M69)</f>
        <v>44143.253235906137</v>
      </c>
      <c r="P69" s="35"/>
    </row>
    <row r="71" spans="1:29" x14ac:dyDescent="0.15">
      <c r="B71" s="387" t="s">
        <v>30</v>
      </c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</row>
    <row r="72" spans="1:29" ht="28" x14ac:dyDescent="0.15">
      <c r="A72" s="149" t="s">
        <v>16</v>
      </c>
      <c r="B72" s="150" t="s">
        <v>3</v>
      </c>
      <c r="C72" s="150" t="s">
        <v>4</v>
      </c>
      <c r="D72" s="150" t="s">
        <v>5</v>
      </c>
      <c r="E72" s="150" t="s">
        <v>6</v>
      </c>
      <c r="F72" s="150" t="s">
        <v>7</v>
      </c>
      <c r="G72" s="151" t="s">
        <v>14</v>
      </c>
      <c r="H72" s="152" t="s">
        <v>123</v>
      </c>
      <c r="I72" s="151" t="s">
        <v>8</v>
      </c>
      <c r="J72" s="151" t="s">
        <v>17</v>
      </c>
      <c r="K72" s="151" t="s">
        <v>9</v>
      </c>
      <c r="L72" s="151" t="s">
        <v>12</v>
      </c>
      <c r="M72" s="151" t="s">
        <v>10</v>
      </c>
    </row>
    <row r="73" spans="1:29" x14ac:dyDescent="0.15">
      <c r="A73" s="189">
        <f>A21</f>
        <v>44105</v>
      </c>
      <c r="B73" s="190">
        <f>B55-B$68</f>
        <v>-63.083340932641704</v>
      </c>
      <c r="C73" s="190">
        <f t="shared" ref="C73:L73" si="54">C55-C$68</f>
        <v>-522.97672975094656</v>
      </c>
      <c r="D73" s="190">
        <f t="shared" si="54"/>
        <v>1.0805699281081615</v>
      </c>
      <c r="E73" s="190">
        <f t="shared" si="54"/>
        <v>159.6740061075725</v>
      </c>
      <c r="F73" s="190">
        <f t="shared" si="54"/>
        <v>-0.30143160355638909</v>
      </c>
      <c r="G73" s="190">
        <f t="shared" si="54"/>
        <v>16.174694528353314</v>
      </c>
      <c r="H73" s="190">
        <f t="shared" si="54"/>
        <v>-230.89372948271614</v>
      </c>
      <c r="I73" s="190">
        <f t="shared" si="54"/>
        <v>16.951178510193188</v>
      </c>
      <c r="J73" s="190">
        <f t="shared" si="54"/>
        <v>-18.417977292175067</v>
      </c>
      <c r="K73" s="190">
        <f t="shared" si="54"/>
        <v>-32.339435172081608</v>
      </c>
      <c r="L73" s="190">
        <f t="shared" si="54"/>
        <v>1.3972368397992767</v>
      </c>
      <c r="M73" s="190">
        <f>M55-M$16</f>
        <v>1.1527360230129005</v>
      </c>
      <c r="N73" s="14"/>
      <c r="O73" s="14"/>
    </row>
    <row r="74" spans="1:29" x14ac:dyDescent="0.15">
      <c r="A74" s="189">
        <f t="shared" ref="A74:A84" si="55">A22</f>
        <v>44136</v>
      </c>
      <c r="B74" s="190">
        <f t="shared" ref="B74:L74" si="56">B56-B$68</f>
        <v>-62.976180541513173</v>
      </c>
      <c r="C74" s="190">
        <f t="shared" si="56"/>
        <v>-170.41245776623964</v>
      </c>
      <c r="D74" s="190">
        <f t="shared" si="56"/>
        <v>-1.9010823765420355</v>
      </c>
      <c r="E74" s="190">
        <f t="shared" si="56"/>
        <v>-125.27097508508473</v>
      </c>
      <c r="F74" s="190">
        <f t="shared" si="56"/>
        <v>2.7598010047373291</v>
      </c>
      <c r="G74" s="190">
        <f t="shared" si="56"/>
        <v>171.1975872248143</v>
      </c>
      <c r="H74" s="190">
        <f t="shared" si="56"/>
        <v>-306.30756496352774</v>
      </c>
      <c r="I74" s="190">
        <f t="shared" si="56"/>
        <v>-55.299922329231308</v>
      </c>
      <c r="J74" s="190">
        <f t="shared" si="56"/>
        <v>-53.37056484348463</v>
      </c>
      <c r="K74" s="190">
        <f t="shared" si="56"/>
        <v>-17.13505626278198</v>
      </c>
      <c r="L74" s="190">
        <f t="shared" si="56"/>
        <v>-31.613022159759808</v>
      </c>
      <c r="M74" s="190">
        <f t="shared" ref="M74:M84" si="57">M56-M$16</f>
        <v>1.1482162668562108</v>
      </c>
    </row>
    <row r="75" spans="1:29" x14ac:dyDescent="0.15">
      <c r="A75" s="189">
        <f t="shared" si="55"/>
        <v>44166</v>
      </c>
      <c r="B75" s="190">
        <f t="shared" ref="B75:L75" si="58">B57-B$68</f>
        <v>3.8963655717436723</v>
      </c>
      <c r="C75" s="190">
        <f t="shared" si="58"/>
        <v>-452.01922029626894</v>
      </c>
      <c r="D75" s="190">
        <f t="shared" si="58"/>
        <v>-2.5404162373097101</v>
      </c>
      <c r="E75" s="190">
        <f t="shared" si="58"/>
        <v>-50.927731578643261</v>
      </c>
      <c r="F75" s="190">
        <f t="shared" si="58"/>
        <v>-6.0864897346094793E-2</v>
      </c>
      <c r="G75" s="190">
        <f t="shared" si="58"/>
        <v>-57.807604468672594</v>
      </c>
      <c r="H75" s="190">
        <f t="shared" si="58"/>
        <v>8.9515457446822211</v>
      </c>
      <c r="I75" s="190">
        <f t="shared" si="58"/>
        <v>24.604128749335956</v>
      </c>
      <c r="J75" s="190">
        <f t="shared" si="58"/>
        <v>-40.149388502944589</v>
      </c>
      <c r="K75" s="190">
        <f t="shared" si="58"/>
        <v>-11.195090892707405</v>
      </c>
      <c r="L75" s="190">
        <f t="shared" si="58"/>
        <v>-14.595514124212443</v>
      </c>
      <c r="M75" s="190">
        <f t="shared" si="57"/>
        <v>0.96205074691166015</v>
      </c>
    </row>
    <row r="76" spans="1:29" x14ac:dyDescent="0.15">
      <c r="A76" s="189">
        <f t="shared" si="55"/>
        <v>44197</v>
      </c>
      <c r="B76" s="190">
        <f t="shared" ref="B76:L76" si="59">B58-B$68</f>
        <v>431.47732517111507</v>
      </c>
      <c r="C76" s="190">
        <f t="shared" si="59"/>
        <v>-689.31485018798776</v>
      </c>
      <c r="D76" s="190">
        <f t="shared" si="59"/>
        <v>1.7997867723434133</v>
      </c>
      <c r="E76" s="190">
        <f t="shared" si="59"/>
        <v>-51.953618595261446</v>
      </c>
      <c r="F76" s="190">
        <f t="shared" si="59"/>
        <v>-0.43790553225100082</v>
      </c>
      <c r="G76" s="190">
        <f t="shared" si="59"/>
        <v>-96.48808020887094</v>
      </c>
      <c r="H76" s="190">
        <f t="shared" si="59"/>
        <v>217.23971683633647</v>
      </c>
      <c r="I76" s="190">
        <f t="shared" si="59"/>
        <v>-20.430117825784848</v>
      </c>
      <c r="J76" s="190">
        <f t="shared" si="59"/>
        <v>-27.680405864215089</v>
      </c>
      <c r="K76" s="190">
        <f t="shared" si="59"/>
        <v>18.864695834646731</v>
      </c>
      <c r="L76" s="190">
        <f t="shared" si="59"/>
        <v>-11.442012946240766</v>
      </c>
      <c r="M76" s="190">
        <f t="shared" si="57"/>
        <v>1.0153687561587108</v>
      </c>
    </row>
    <row r="77" spans="1:29" x14ac:dyDescent="0.15">
      <c r="A77" s="189">
        <f t="shared" si="55"/>
        <v>44228</v>
      </c>
      <c r="B77" s="190">
        <f t="shared" ref="B77:L77" si="60">B59-B$68</f>
        <v>-54.410040321025292</v>
      </c>
      <c r="C77" s="190">
        <f t="shared" si="60"/>
        <v>-574.36337484014598</v>
      </c>
      <c r="D77" s="190">
        <f t="shared" si="60"/>
        <v>-2.9324906872098069</v>
      </c>
      <c r="E77" s="190">
        <f t="shared" si="60"/>
        <v>111.57726553705106</v>
      </c>
      <c r="F77" s="190">
        <f t="shared" si="60"/>
        <v>5.2984986082982299E-3</v>
      </c>
      <c r="G77" s="190">
        <f t="shared" si="60"/>
        <v>-62.811493230496353</v>
      </c>
      <c r="H77" s="190">
        <f t="shared" si="60"/>
        <v>-23.661461184341192</v>
      </c>
      <c r="I77" s="190">
        <f t="shared" si="60"/>
        <v>-6.6446689907884888</v>
      </c>
      <c r="J77" s="190">
        <f t="shared" si="60"/>
        <v>-38.237348708163353</v>
      </c>
      <c r="K77" s="190">
        <f t="shared" si="60"/>
        <v>1.9013362515701857</v>
      </c>
      <c r="L77" s="190">
        <f t="shared" si="60"/>
        <v>-27.760677985538038</v>
      </c>
      <c r="M77" s="190">
        <f t="shared" si="57"/>
        <v>0.95924824176832035</v>
      </c>
    </row>
    <row r="78" spans="1:29" x14ac:dyDescent="0.15">
      <c r="A78" s="189">
        <f t="shared" si="55"/>
        <v>44256</v>
      </c>
      <c r="B78" s="190">
        <f t="shared" ref="B78:L78" si="61">B60-B$68</f>
        <v>77.584505069332693</v>
      </c>
      <c r="C78" s="190">
        <f t="shared" si="61"/>
        <v>-513.27222820331099</v>
      </c>
      <c r="D78" s="190">
        <f t="shared" si="61"/>
        <v>1.723888739963531</v>
      </c>
      <c r="E78" s="190">
        <f t="shared" si="61"/>
        <v>-14.246547668825883</v>
      </c>
      <c r="F78" s="190">
        <f t="shared" si="61"/>
        <v>-0.78162018856293225</v>
      </c>
      <c r="G78" s="190">
        <f t="shared" si="61"/>
        <v>-120.01685837598177</v>
      </c>
      <c r="H78" s="190">
        <f t="shared" si="61"/>
        <v>43.079201639626604</v>
      </c>
      <c r="I78" s="190">
        <f t="shared" si="61"/>
        <v>20.146423905239828</v>
      </c>
      <c r="J78" s="190">
        <f t="shared" si="61"/>
        <v>-5.7478722309807324</v>
      </c>
      <c r="K78" s="190">
        <f t="shared" si="61"/>
        <v>-3.0989387618250817</v>
      </c>
      <c r="L78" s="190">
        <f t="shared" si="61"/>
        <v>55.752660352637733</v>
      </c>
      <c r="M78" s="190">
        <f t="shared" si="57"/>
        <v>1.7941337041310839</v>
      </c>
    </row>
    <row r="79" spans="1:29" x14ac:dyDescent="0.15">
      <c r="A79" s="189">
        <f t="shared" si="55"/>
        <v>44287</v>
      </c>
      <c r="B79" s="190">
        <f t="shared" ref="B79:L79" si="62">B61-B$68</f>
        <v>-81.58091142871902</v>
      </c>
      <c r="C79" s="190">
        <f t="shared" si="62"/>
        <v>234.67883083053039</v>
      </c>
      <c r="D79" s="190">
        <f t="shared" si="62"/>
        <v>4.2422179153645061</v>
      </c>
      <c r="E79" s="190">
        <f t="shared" si="62"/>
        <v>-1.0431444124628797</v>
      </c>
      <c r="F79" s="190">
        <f t="shared" si="62"/>
        <v>1.262229856638972</v>
      </c>
      <c r="G79" s="190">
        <f t="shared" si="62"/>
        <v>25.091368508718915</v>
      </c>
      <c r="H79" s="190">
        <f t="shared" si="62"/>
        <v>107.47919998363147</v>
      </c>
      <c r="I79" s="190">
        <f t="shared" si="62"/>
        <v>101.25469331343496</v>
      </c>
      <c r="J79" s="190">
        <f t="shared" si="62"/>
        <v>38.002000995728253</v>
      </c>
      <c r="K79" s="190">
        <f t="shared" si="62"/>
        <v>4.7910690911058467</v>
      </c>
      <c r="L79" s="190">
        <f t="shared" si="62"/>
        <v>-5.6414555669408202</v>
      </c>
      <c r="M79" s="190">
        <f t="shared" si="57"/>
        <v>1.2518903756653808</v>
      </c>
    </row>
    <row r="80" spans="1:29" x14ac:dyDescent="0.15">
      <c r="A80" s="189">
        <f t="shared" si="55"/>
        <v>44317</v>
      </c>
      <c r="B80" s="190">
        <f t="shared" ref="B80:L80" si="63">B62-B$68</f>
        <v>-82.121358392860458</v>
      </c>
      <c r="C80" s="190">
        <f t="shared" si="63"/>
        <v>3819.9228099881816</v>
      </c>
      <c r="D80" s="190">
        <f t="shared" si="63"/>
        <v>-0.96481784463226816</v>
      </c>
      <c r="E80" s="190">
        <f t="shared" si="63"/>
        <v>73.830517875525402</v>
      </c>
      <c r="F80" s="190">
        <f t="shared" si="63"/>
        <v>-0.15431175928499274</v>
      </c>
      <c r="G80" s="190">
        <f t="shared" si="63"/>
        <v>27.654913672055329</v>
      </c>
      <c r="H80" s="190">
        <f t="shared" si="63"/>
        <v>-35.249296952192708</v>
      </c>
      <c r="I80" s="190">
        <f t="shared" si="63"/>
        <v>-2.2512090413027579</v>
      </c>
      <c r="J80" s="190">
        <f t="shared" si="63"/>
        <v>-63.682593406276624</v>
      </c>
      <c r="K80" s="190">
        <f t="shared" si="63"/>
        <v>17.784834118791231</v>
      </c>
      <c r="L80" s="190">
        <f t="shared" si="63"/>
        <v>-7.031647367350061</v>
      </c>
      <c r="M80" s="190">
        <f t="shared" si="57"/>
        <v>1.0537724302102538</v>
      </c>
    </row>
    <row r="81" spans="1:14" x14ac:dyDescent="0.15">
      <c r="A81" s="189">
        <f t="shared" si="55"/>
        <v>44348</v>
      </c>
      <c r="B81" s="190">
        <f t="shared" ref="B81:L81" si="64">B63-B$68</f>
        <v>-75.128577639453539</v>
      </c>
      <c r="C81" s="190">
        <f t="shared" si="64"/>
        <v>-778.81856845556013</v>
      </c>
      <c r="D81" s="190">
        <f t="shared" si="64"/>
        <v>6.300074402743121</v>
      </c>
      <c r="E81" s="190">
        <f t="shared" si="64"/>
        <v>18.673550328015608</v>
      </c>
      <c r="F81" s="190">
        <f t="shared" si="64"/>
        <v>-0.60771405495271547</v>
      </c>
      <c r="G81" s="190">
        <f t="shared" si="64"/>
        <v>120.85773704271384</v>
      </c>
      <c r="H81" s="190">
        <f t="shared" si="64"/>
        <v>145.92335734140499</v>
      </c>
      <c r="I81" s="190">
        <f t="shared" si="64"/>
        <v>-19.662800917636474</v>
      </c>
      <c r="J81" s="190">
        <f t="shared" si="64"/>
        <v>-9.8422011255568975</v>
      </c>
      <c r="K81" s="190">
        <f t="shared" si="64"/>
        <v>0.45357339354537629</v>
      </c>
      <c r="L81" s="190">
        <f t="shared" si="64"/>
        <v>-9.320427325515098</v>
      </c>
      <c r="M81" s="190">
        <f t="shared" si="57"/>
        <v>2.0125760743721486</v>
      </c>
    </row>
    <row r="82" spans="1:14" x14ac:dyDescent="0.15">
      <c r="A82" s="189">
        <f t="shared" si="55"/>
        <v>44378</v>
      </c>
      <c r="B82" s="190">
        <f t="shared" ref="B82:L82" si="65">B64-B$68</f>
        <v>8.9676638210380588</v>
      </c>
      <c r="C82" s="190">
        <f t="shared" si="65"/>
        <v>199.70341233533691</v>
      </c>
      <c r="D82" s="190">
        <f t="shared" si="65"/>
        <v>-4.1422769269565869</v>
      </c>
      <c r="E82" s="190">
        <f t="shared" si="65"/>
        <v>10.28787290630396</v>
      </c>
      <c r="F82" s="190">
        <f t="shared" si="65"/>
        <v>-0.73225575487723593</v>
      </c>
      <c r="G82" s="190">
        <f t="shared" si="65"/>
        <v>-72.713912270226331</v>
      </c>
      <c r="H82" s="190">
        <f t="shared" si="65"/>
        <v>184.76511211523314</v>
      </c>
      <c r="I82" s="190">
        <f t="shared" si="65"/>
        <v>-32.893699714157265</v>
      </c>
      <c r="J82" s="190">
        <f t="shared" si="65"/>
        <v>111.21620780319503</v>
      </c>
      <c r="K82" s="190">
        <f t="shared" si="65"/>
        <v>-14.945142701938309</v>
      </c>
      <c r="L82" s="190">
        <f t="shared" si="65"/>
        <v>54.631619396792374</v>
      </c>
      <c r="M82" s="190">
        <f t="shared" si="57"/>
        <v>2.027097119120254</v>
      </c>
    </row>
    <row r="83" spans="1:14" x14ac:dyDescent="0.15">
      <c r="A83" s="189">
        <f t="shared" si="55"/>
        <v>44409</v>
      </c>
      <c r="B83" s="190">
        <f t="shared" ref="B83:L83" si="66">B65-B$68</f>
        <v>-143.64706732036166</v>
      </c>
      <c r="C83" s="190">
        <f t="shared" si="66"/>
        <v>-318.96350984052151</v>
      </c>
      <c r="D83" s="190">
        <f t="shared" si="66"/>
        <v>-2.8126849347882263</v>
      </c>
      <c r="E83" s="190">
        <f t="shared" si="66"/>
        <v>-83.676091241930749</v>
      </c>
      <c r="F83" s="190">
        <f t="shared" si="66"/>
        <v>-0.3845857238824596</v>
      </c>
      <c r="G83" s="190">
        <f t="shared" si="66"/>
        <v>-29.238033184864605</v>
      </c>
      <c r="H83" s="190">
        <f t="shared" si="66"/>
        <v>-103.40431096586269</v>
      </c>
      <c r="I83" s="190">
        <f t="shared" si="66"/>
        <v>-67.662859283158014</v>
      </c>
      <c r="J83" s="190">
        <f t="shared" si="66"/>
        <v>130.24989412860035</v>
      </c>
      <c r="K83" s="190">
        <f t="shared" si="66"/>
        <v>1.6770420433789397</v>
      </c>
      <c r="L83" s="190">
        <f t="shared" si="66"/>
        <v>-2.8623712652755415</v>
      </c>
      <c r="M83" s="190">
        <f t="shared" si="57"/>
        <v>1.7776960661448828</v>
      </c>
    </row>
    <row r="84" spans="1:14" x14ac:dyDescent="0.15">
      <c r="A84" s="189">
        <f t="shared" si="55"/>
        <v>44440</v>
      </c>
      <c r="B84" s="190">
        <f t="shared" ref="B84:L84" si="67">B66-B$68</f>
        <v>41.021616943344895</v>
      </c>
      <c r="C84" s="190">
        <f t="shared" si="67"/>
        <v>-234.16411381306602</v>
      </c>
      <c r="D84" s="190">
        <f t="shared" si="67"/>
        <v>0.14723124891587602</v>
      </c>
      <c r="E84" s="190">
        <f t="shared" si="67"/>
        <v>-46.925104172258671</v>
      </c>
      <c r="F84" s="190">
        <f t="shared" si="67"/>
        <v>-0.56663984527077793</v>
      </c>
      <c r="G84" s="190">
        <f t="shared" si="67"/>
        <v>78.099680762456217</v>
      </c>
      <c r="H84" s="190">
        <f t="shared" si="67"/>
        <v>-7.9217701122737481</v>
      </c>
      <c r="I84" s="190">
        <f t="shared" si="67"/>
        <v>41.888853623855084</v>
      </c>
      <c r="J84" s="190">
        <f t="shared" si="67"/>
        <v>-22.339750953726821</v>
      </c>
      <c r="K84" s="190">
        <f t="shared" si="67"/>
        <v>33.24111305829603</v>
      </c>
      <c r="L84" s="190">
        <f t="shared" si="67"/>
        <v>-1.5143878483969218</v>
      </c>
      <c r="M84" s="190">
        <f t="shared" si="57"/>
        <v>2.1448938430111917</v>
      </c>
    </row>
    <row r="85" spans="1:14" x14ac:dyDescent="0.15">
      <c r="A85" s="149" t="s">
        <v>11</v>
      </c>
      <c r="B85" s="191">
        <f>SUM(B73:B84)</f>
        <v>-4.8316906031686813E-13</v>
      </c>
      <c r="C85" s="191">
        <f t="shared" ref="C85:M85" si="68">SUM(C73:C84)</f>
        <v>1.5916157281026244E-12</v>
      </c>
      <c r="D85" s="191">
        <f t="shared" si="68"/>
        <v>-2.4868995751603507E-14</v>
      </c>
      <c r="E85" s="191">
        <f t="shared" si="68"/>
        <v>9.0949470177292824E-13</v>
      </c>
      <c r="F85" s="191">
        <f t="shared" si="68"/>
        <v>9.9920072216264089E-16</v>
      </c>
      <c r="G85" s="191">
        <f t="shared" si="68"/>
        <v>-6.8212102632969618E-13</v>
      </c>
      <c r="H85" s="191">
        <f t="shared" si="68"/>
        <v>6.8212102632969618E-13</v>
      </c>
      <c r="I85" s="191">
        <f t="shared" si="68"/>
        <v>-1.4210854715202004E-13</v>
      </c>
      <c r="J85" s="191">
        <f t="shared" si="68"/>
        <v>-1.7053025658242404E-13</v>
      </c>
      <c r="K85" s="191">
        <f t="shared" si="68"/>
        <v>0</v>
      </c>
      <c r="L85" s="191">
        <f t="shared" si="68"/>
        <v>-1.1368683772161603E-13</v>
      </c>
      <c r="M85" s="191">
        <f t="shared" si="68"/>
        <v>17.299679647363</v>
      </c>
    </row>
    <row r="86" spans="1:14" x14ac:dyDescent="0.15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</row>
    <row r="87" spans="1:14" x14ac:dyDescent="0.15">
      <c r="B87" s="387" t="s">
        <v>31</v>
      </c>
      <c r="C87" s="388"/>
      <c r="D87" s="388"/>
      <c r="E87" s="388"/>
      <c r="F87" s="388"/>
      <c r="G87" s="388"/>
      <c r="H87" s="388"/>
      <c r="I87" s="388"/>
      <c r="J87" s="388"/>
      <c r="K87" s="388"/>
      <c r="L87" s="388"/>
      <c r="M87" s="388"/>
    </row>
    <row r="88" spans="1:14" ht="28" x14ac:dyDescent="0.15">
      <c r="A88" s="149" t="s">
        <v>16</v>
      </c>
      <c r="B88" s="150" t="s">
        <v>3</v>
      </c>
      <c r="C88" s="150" t="s">
        <v>4</v>
      </c>
      <c r="D88" s="150" t="s">
        <v>5</v>
      </c>
      <c r="E88" s="150" t="s">
        <v>6</v>
      </c>
      <c r="F88" s="150" t="s">
        <v>7</v>
      </c>
      <c r="G88" s="151" t="s">
        <v>14</v>
      </c>
      <c r="H88" s="152" t="s">
        <v>123</v>
      </c>
      <c r="I88" s="151" t="s">
        <v>8</v>
      </c>
      <c r="J88" s="151" t="s">
        <v>17</v>
      </c>
      <c r="K88" s="151" t="s">
        <v>9</v>
      </c>
      <c r="L88" s="151" t="s">
        <v>12</v>
      </c>
      <c r="M88" s="151" t="s">
        <v>10</v>
      </c>
    </row>
    <row r="89" spans="1:14" x14ac:dyDescent="0.15">
      <c r="A89" s="189">
        <f>A73</f>
        <v>44105</v>
      </c>
      <c r="B89" s="190"/>
      <c r="C89" s="190"/>
      <c r="D89" s="190"/>
      <c r="E89" s="190"/>
      <c r="F89" s="190"/>
      <c r="G89" s="190"/>
      <c r="H89" s="190"/>
      <c r="I89" s="190"/>
      <c r="J89" s="190"/>
      <c r="K89" s="190"/>
      <c r="L89" s="190"/>
      <c r="M89" s="190"/>
    </row>
    <row r="90" spans="1:14" x14ac:dyDescent="0.15">
      <c r="A90" s="189">
        <f t="shared" ref="A90:A100" si="69">A74</f>
        <v>44136</v>
      </c>
      <c r="B90" s="190">
        <f>B56-B55</f>
        <v>0.10716039112853082</v>
      </c>
      <c r="C90" s="190">
        <f t="shared" ref="C90:M90" si="70">C56-C55</f>
        <v>352.56427198470692</v>
      </c>
      <c r="D90" s="190">
        <f t="shared" si="70"/>
        <v>-2.981652304650197</v>
      </c>
      <c r="E90" s="190">
        <f t="shared" si="70"/>
        <v>-284.94498119265722</v>
      </c>
      <c r="F90" s="190">
        <f t="shared" si="70"/>
        <v>3.061232608293718</v>
      </c>
      <c r="G90" s="190">
        <f t="shared" si="70"/>
        <v>155.02289269646099</v>
      </c>
      <c r="H90" s="190">
        <f t="shared" si="70"/>
        <v>-75.413835480811599</v>
      </c>
      <c r="I90" s="190">
        <f t="shared" si="70"/>
        <v>-72.251100839424495</v>
      </c>
      <c r="J90" s="190">
        <f t="shared" si="70"/>
        <v>-34.952587551309563</v>
      </c>
      <c r="K90" s="190">
        <f t="shared" si="70"/>
        <v>15.204378909299628</v>
      </c>
      <c r="L90" s="190">
        <f t="shared" si="70"/>
        <v>-33.010258999559085</v>
      </c>
      <c r="M90" s="190">
        <f t="shared" si="70"/>
        <v>-4.5197561566896471E-3</v>
      </c>
      <c r="N90" s="16"/>
    </row>
    <row r="91" spans="1:14" x14ac:dyDescent="0.15">
      <c r="A91" s="189">
        <f t="shared" si="69"/>
        <v>44166</v>
      </c>
      <c r="B91" s="190">
        <f t="shared" ref="B91:M91" si="71">B57-B56</f>
        <v>66.872546113256846</v>
      </c>
      <c r="C91" s="190">
        <f t="shared" si="71"/>
        <v>-281.6067625300293</v>
      </c>
      <c r="D91" s="190">
        <f t="shared" si="71"/>
        <v>-0.63933386076767462</v>
      </c>
      <c r="E91" s="190">
        <f t="shared" si="71"/>
        <v>74.343243506441468</v>
      </c>
      <c r="F91" s="190">
        <f t="shared" si="71"/>
        <v>-2.8206659020834239</v>
      </c>
      <c r="G91" s="190">
        <f t="shared" si="71"/>
        <v>-229.00519169348689</v>
      </c>
      <c r="H91" s="190">
        <f t="shared" si="71"/>
        <v>315.25911070820996</v>
      </c>
      <c r="I91" s="190">
        <f t="shared" si="71"/>
        <v>79.904051078567264</v>
      </c>
      <c r="J91" s="190">
        <f t="shared" si="71"/>
        <v>13.22117634054004</v>
      </c>
      <c r="K91" s="190">
        <f t="shared" si="71"/>
        <v>5.9399653700745745</v>
      </c>
      <c r="L91" s="190">
        <f t="shared" si="71"/>
        <v>17.017508035547365</v>
      </c>
      <c r="M91" s="190">
        <f t="shared" si="71"/>
        <v>-0.18616551994455066</v>
      </c>
      <c r="N91" s="16"/>
    </row>
    <row r="92" spans="1:14" x14ac:dyDescent="0.15">
      <c r="A92" s="189">
        <f t="shared" si="69"/>
        <v>44197</v>
      </c>
      <c r="B92" s="190">
        <f t="shared" ref="B92:M92" si="72">B58-B57</f>
        <v>427.5809595993714</v>
      </c>
      <c r="C92" s="190">
        <f t="shared" si="72"/>
        <v>-237.29562989171882</v>
      </c>
      <c r="D92" s="190">
        <f t="shared" si="72"/>
        <v>4.3402030096531234</v>
      </c>
      <c r="E92" s="190">
        <f t="shared" si="72"/>
        <v>-1.025887016618185</v>
      </c>
      <c r="F92" s="190">
        <f t="shared" si="72"/>
        <v>-0.37704063490490602</v>
      </c>
      <c r="G92" s="190">
        <f t="shared" si="72"/>
        <v>-38.680475740198347</v>
      </c>
      <c r="H92" s="190">
        <f t="shared" si="72"/>
        <v>208.28817109165425</v>
      </c>
      <c r="I92" s="190">
        <f t="shared" si="72"/>
        <v>-45.034246575120804</v>
      </c>
      <c r="J92" s="190">
        <f t="shared" si="72"/>
        <v>12.4689826387295</v>
      </c>
      <c r="K92" s="190">
        <f t="shared" si="72"/>
        <v>30.059786727354137</v>
      </c>
      <c r="L92" s="190">
        <f t="shared" si="72"/>
        <v>3.1535011779716768</v>
      </c>
      <c r="M92" s="190">
        <f t="shared" si="72"/>
        <v>5.3318009247050657E-2</v>
      </c>
      <c r="N92" s="16"/>
    </row>
    <row r="93" spans="1:14" x14ac:dyDescent="0.15">
      <c r="A93" s="189">
        <f t="shared" si="69"/>
        <v>44228</v>
      </c>
      <c r="B93" s="190">
        <f t="shared" ref="B93:M93" si="73">B59-B58</f>
        <v>-485.88736549214036</v>
      </c>
      <c r="C93" s="190">
        <f t="shared" si="73"/>
        <v>114.95147534784178</v>
      </c>
      <c r="D93" s="190">
        <f t="shared" si="73"/>
        <v>-4.7322774595532202</v>
      </c>
      <c r="E93" s="190">
        <f t="shared" si="73"/>
        <v>163.53088413231251</v>
      </c>
      <c r="F93" s="190">
        <f t="shared" si="73"/>
        <v>0.44320403085929905</v>
      </c>
      <c r="G93" s="190">
        <f t="shared" si="73"/>
        <v>33.676586978374587</v>
      </c>
      <c r="H93" s="190">
        <f t="shared" si="73"/>
        <v>-240.90117802067766</v>
      </c>
      <c r="I93" s="190">
        <f t="shared" si="73"/>
        <v>13.785448834996359</v>
      </c>
      <c r="J93" s="190">
        <f t="shared" si="73"/>
        <v>-10.556942843948264</v>
      </c>
      <c r="K93" s="190">
        <f t="shared" si="73"/>
        <v>-16.963359583076546</v>
      </c>
      <c r="L93" s="190">
        <f t="shared" si="73"/>
        <v>-16.318665039297272</v>
      </c>
      <c r="M93" s="190">
        <f t="shared" si="73"/>
        <v>-5.6120514390390452E-2</v>
      </c>
      <c r="N93" s="16"/>
    </row>
    <row r="94" spans="1:14" x14ac:dyDescent="0.15">
      <c r="A94" s="189">
        <f t="shared" si="69"/>
        <v>44256</v>
      </c>
      <c r="B94" s="190">
        <f t="shared" ref="B94:M94" si="74">B60-B59</f>
        <v>131.99454539035798</v>
      </c>
      <c r="C94" s="190">
        <f t="shared" si="74"/>
        <v>61.091146636834992</v>
      </c>
      <c r="D94" s="190">
        <f t="shared" si="74"/>
        <v>4.6563794271733379</v>
      </c>
      <c r="E94" s="190">
        <f t="shared" si="74"/>
        <v>-125.82381320587695</v>
      </c>
      <c r="F94" s="190">
        <f t="shared" si="74"/>
        <v>-0.78691868717123048</v>
      </c>
      <c r="G94" s="190">
        <f t="shared" si="74"/>
        <v>-57.205365145485416</v>
      </c>
      <c r="H94" s="190">
        <f t="shared" si="74"/>
        <v>66.740662823967796</v>
      </c>
      <c r="I94" s="190">
        <f t="shared" si="74"/>
        <v>26.791092896028317</v>
      </c>
      <c r="J94" s="190">
        <f t="shared" si="74"/>
        <v>32.48947647718262</v>
      </c>
      <c r="K94" s="190">
        <f t="shared" si="74"/>
        <v>-5.0002750133952674</v>
      </c>
      <c r="L94" s="190">
        <f t="shared" si="74"/>
        <v>83.513338338175771</v>
      </c>
      <c r="M94" s="190">
        <f t="shared" si="74"/>
        <v>0.83488546236276351</v>
      </c>
      <c r="N94" s="16"/>
    </row>
    <row r="95" spans="1:14" x14ac:dyDescent="0.15">
      <c r="A95" s="189">
        <f t="shared" si="69"/>
        <v>44287</v>
      </c>
      <c r="B95" s="190">
        <f t="shared" ref="B95:M95" si="75">B61-B60</f>
        <v>-159.16541649805171</v>
      </c>
      <c r="C95" s="190">
        <f t="shared" si="75"/>
        <v>747.95105903384137</v>
      </c>
      <c r="D95" s="190">
        <f t="shared" si="75"/>
        <v>2.5183291754009751</v>
      </c>
      <c r="E95" s="190">
        <f t="shared" si="75"/>
        <v>13.203403256363003</v>
      </c>
      <c r="F95" s="190">
        <f t="shared" si="75"/>
        <v>2.0438500452019044</v>
      </c>
      <c r="G95" s="190">
        <f t="shared" si="75"/>
        <v>145.10822688470068</v>
      </c>
      <c r="H95" s="190">
        <f t="shared" si="75"/>
        <v>64.399998344004871</v>
      </c>
      <c r="I95" s="190">
        <f t="shared" si="75"/>
        <v>81.108269408195127</v>
      </c>
      <c r="J95" s="190">
        <f t="shared" si="75"/>
        <v>43.749873226708985</v>
      </c>
      <c r="K95" s="190">
        <f t="shared" si="75"/>
        <v>7.8900078529309283</v>
      </c>
      <c r="L95" s="190">
        <f t="shared" si="75"/>
        <v>-61.394115919578553</v>
      </c>
      <c r="M95" s="190">
        <f t="shared" si="75"/>
        <v>-0.54224332846570311</v>
      </c>
      <c r="N95" s="16"/>
    </row>
    <row r="96" spans="1:14" x14ac:dyDescent="0.15">
      <c r="A96" s="189">
        <f t="shared" si="69"/>
        <v>44317</v>
      </c>
      <c r="B96" s="190">
        <f t="shared" ref="B96:M96" si="76">B62-B61</f>
        <v>-0.540446964141438</v>
      </c>
      <c r="C96" s="190">
        <f t="shared" si="76"/>
        <v>3585.2439791576512</v>
      </c>
      <c r="D96" s="190">
        <f t="shared" si="76"/>
        <v>-5.2070357599967743</v>
      </c>
      <c r="E96" s="190">
        <f t="shared" si="76"/>
        <v>74.873662287988282</v>
      </c>
      <c r="F96" s="190">
        <f t="shared" si="76"/>
        <v>-1.4165416159239648</v>
      </c>
      <c r="G96" s="190">
        <f t="shared" si="76"/>
        <v>2.5635451633364141</v>
      </c>
      <c r="H96" s="190">
        <f t="shared" si="76"/>
        <v>-142.72849693582418</v>
      </c>
      <c r="I96" s="190">
        <f t="shared" si="76"/>
        <v>-103.50590235473771</v>
      </c>
      <c r="J96" s="190">
        <f t="shared" si="76"/>
        <v>-101.68459440200488</v>
      </c>
      <c r="K96" s="190">
        <f t="shared" si="76"/>
        <v>12.993765027685384</v>
      </c>
      <c r="L96" s="190">
        <f t="shared" si="76"/>
        <v>-1.3901918004092408</v>
      </c>
      <c r="M96" s="190">
        <f t="shared" si="76"/>
        <v>-0.19811794545512695</v>
      </c>
      <c r="N96" s="16"/>
    </row>
    <row r="97" spans="1:35" x14ac:dyDescent="0.15">
      <c r="A97" s="189">
        <f t="shared" si="69"/>
        <v>44348</v>
      </c>
      <c r="B97" s="190">
        <f t="shared" ref="B97:M97" si="77">B63-B62</f>
        <v>6.9927807534069188</v>
      </c>
      <c r="C97" s="190">
        <f t="shared" si="77"/>
        <v>-4598.7413784437413</v>
      </c>
      <c r="D97" s="190">
        <f t="shared" si="77"/>
        <v>7.2648922473753892</v>
      </c>
      <c r="E97" s="190">
        <f t="shared" si="77"/>
        <v>-55.156967547509794</v>
      </c>
      <c r="F97" s="190">
        <f t="shared" si="77"/>
        <v>-0.45340229566772272</v>
      </c>
      <c r="G97" s="190">
        <f t="shared" si="77"/>
        <v>93.202823370658507</v>
      </c>
      <c r="H97" s="190">
        <f t="shared" si="77"/>
        <v>181.1726542935977</v>
      </c>
      <c r="I97" s="190">
        <f t="shared" si="77"/>
        <v>-17.411591876333716</v>
      </c>
      <c r="J97" s="190">
        <f t="shared" si="77"/>
        <v>53.840392280719726</v>
      </c>
      <c r="K97" s="190">
        <f t="shared" si="77"/>
        <v>-17.331260725245855</v>
      </c>
      <c r="L97" s="190">
        <f t="shared" si="77"/>
        <v>-2.288779958165037</v>
      </c>
      <c r="M97" s="190">
        <f t="shared" si="77"/>
        <v>0.95880364416189456</v>
      </c>
      <c r="N97" s="16"/>
    </row>
    <row r="98" spans="1:35" x14ac:dyDescent="0.15">
      <c r="A98" s="189">
        <f t="shared" si="69"/>
        <v>44378</v>
      </c>
      <c r="B98" s="190">
        <f t="shared" ref="B98:M98" si="78">B64-B63</f>
        <v>84.096241460491598</v>
      </c>
      <c r="C98" s="190">
        <f t="shared" si="78"/>
        <v>978.52198079089703</v>
      </c>
      <c r="D98" s="190">
        <f t="shared" si="78"/>
        <v>-10.442351329699708</v>
      </c>
      <c r="E98" s="190">
        <f t="shared" si="78"/>
        <v>-8.3856774217116481</v>
      </c>
      <c r="F98" s="190">
        <f t="shared" si="78"/>
        <v>-0.12454169992452047</v>
      </c>
      <c r="G98" s="190">
        <f t="shared" si="78"/>
        <v>-193.57164931294017</v>
      </c>
      <c r="H98" s="190">
        <f t="shared" si="78"/>
        <v>38.841754773828143</v>
      </c>
      <c r="I98" s="190">
        <f t="shared" si="78"/>
        <v>-13.23089879652079</v>
      </c>
      <c r="J98" s="190">
        <f t="shared" si="78"/>
        <v>121.05840892875193</v>
      </c>
      <c r="K98" s="190">
        <f t="shared" si="78"/>
        <v>-15.398716095483685</v>
      </c>
      <c r="L98" s="190">
        <f t="shared" si="78"/>
        <v>63.952046722307472</v>
      </c>
      <c r="M98" s="190">
        <f t="shared" si="78"/>
        <v>1.4521044748105449E-2</v>
      </c>
      <c r="N98" s="16"/>
    </row>
    <row r="99" spans="1:35" x14ac:dyDescent="0.15">
      <c r="A99" s="189">
        <f t="shared" si="69"/>
        <v>44409</v>
      </c>
      <c r="B99" s="190">
        <f t="shared" ref="B99:M99" si="79">B65-B64</f>
        <v>-152.61473114139972</v>
      </c>
      <c r="C99" s="190">
        <f t="shared" si="79"/>
        <v>-518.66692217585842</v>
      </c>
      <c r="D99" s="190">
        <f t="shared" si="79"/>
        <v>1.3295919921683605</v>
      </c>
      <c r="E99" s="190">
        <f t="shared" si="79"/>
        <v>-93.963964148234709</v>
      </c>
      <c r="F99" s="190">
        <f t="shared" si="79"/>
        <v>0.34767003099477634</v>
      </c>
      <c r="G99" s="190">
        <f t="shared" si="79"/>
        <v>43.475879085361726</v>
      </c>
      <c r="H99" s="190">
        <f t="shared" si="79"/>
        <v>-288.16942308109583</v>
      </c>
      <c r="I99" s="190">
        <f t="shared" si="79"/>
        <v>-34.769159569000749</v>
      </c>
      <c r="J99" s="190">
        <f t="shared" si="79"/>
        <v>19.033686325405313</v>
      </c>
      <c r="K99" s="190">
        <f t="shared" si="79"/>
        <v>16.622184745317249</v>
      </c>
      <c r="L99" s="190">
        <f t="shared" si="79"/>
        <v>-57.493990662067915</v>
      </c>
      <c r="M99" s="190">
        <f t="shared" si="79"/>
        <v>-0.24940105297537096</v>
      </c>
      <c r="N99" s="16"/>
    </row>
    <row r="100" spans="1:35" x14ac:dyDescent="0.15">
      <c r="A100" s="189">
        <f t="shared" si="69"/>
        <v>44440</v>
      </c>
      <c r="B100" s="190">
        <f t="shared" ref="B100:M100" si="80">B66-B65</f>
        <v>184.66868426370655</v>
      </c>
      <c r="C100" s="190">
        <f t="shared" si="80"/>
        <v>84.799396027455487</v>
      </c>
      <c r="D100" s="190">
        <f t="shared" si="80"/>
        <v>2.9599161837041024</v>
      </c>
      <c r="E100" s="190">
        <f t="shared" si="80"/>
        <v>36.750987069672078</v>
      </c>
      <c r="F100" s="190">
        <f t="shared" si="80"/>
        <v>-0.18205412138831834</v>
      </c>
      <c r="G100" s="190">
        <f t="shared" si="80"/>
        <v>107.33771394732082</v>
      </c>
      <c r="H100" s="190">
        <f t="shared" si="80"/>
        <v>95.482540853588944</v>
      </c>
      <c r="I100" s="190">
        <f t="shared" si="80"/>
        <v>109.5517129070131</v>
      </c>
      <c r="J100" s="190">
        <f t="shared" si="80"/>
        <v>-152.58964508232717</v>
      </c>
      <c r="K100" s="190">
        <f t="shared" si="80"/>
        <v>31.56407101491709</v>
      </c>
      <c r="L100" s="190">
        <f t="shared" si="80"/>
        <v>1.3479834168786198</v>
      </c>
      <c r="M100" s="190">
        <f t="shared" si="80"/>
        <v>0.36719777686630861</v>
      </c>
      <c r="N100" s="16"/>
    </row>
    <row r="104" spans="1:35" x14ac:dyDescent="0.15">
      <c r="A104" s="20" t="s">
        <v>35</v>
      </c>
      <c r="P104" s="35" t="s">
        <v>191</v>
      </c>
    </row>
    <row r="105" spans="1:35" ht="28" x14ac:dyDescent="0.15">
      <c r="A105" s="132" t="s">
        <v>18</v>
      </c>
      <c r="B105" s="130" t="s">
        <v>3</v>
      </c>
      <c r="C105" s="130" t="s">
        <v>4</v>
      </c>
      <c r="D105" s="130" t="s">
        <v>5</v>
      </c>
      <c r="E105" s="130" t="s">
        <v>6</v>
      </c>
      <c r="F105" s="130" t="s">
        <v>7</v>
      </c>
      <c r="G105" s="125" t="s">
        <v>14</v>
      </c>
      <c r="H105" s="131" t="s">
        <v>123</v>
      </c>
      <c r="I105" s="125" t="s">
        <v>8</v>
      </c>
      <c r="J105" s="125" t="s">
        <v>17</v>
      </c>
      <c r="K105" s="125" t="s">
        <v>9</v>
      </c>
      <c r="L105" s="125" t="s">
        <v>12</v>
      </c>
      <c r="M105" s="125" t="s">
        <v>10</v>
      </c>
      <c r="N105" s="125" t="s">
        <v>11</v>
      </c>
      <c r="P105" s="237" t="s">
        <v>18</v>
      </c>
      <c r="Q105" s="236" t="s">
        <v>4</v>
      </c>
      <c r="R105" s="236" t="s">
        <v>5</v>
      </c>
      <c r="S105" s="235" t="s">
        <v>6</v>
      </c>
      <c r="T105" s="235" t="s">
        <v>7</v>
      </c>
      <c r="U105" s="235" t="s">
        <v>73</v>
      </c>
      <c r="V105" s="235" t="s">
        <v>74</v>
      </c>
      <c r="W105" s="235" t="s">
        <v>75</v>
      </c>
      <c r="X105" s="235" t="s">
        <v>76</v>
      </c>
      <c r="Y105" s="235" t="s">
        <v>50</v>
      </c>
      <c r="Z105" s="235" t="s">
        <v>77</v>
      </c>
      <c r="AA105" s="235" t="s">
        <v>78</v>
      </c>
      <c r="AB105" s="235" t="s">
        <v>123</v>
      </c>
      <c r="AC105" s="235" t="s">
        <v>8</v>
      </c>
      <c r="AD105" s="235" t="s">
        <v>79</v>
      </c>
      <c r="AE105" s="235" t="s">
        <v>17</v>
      </c>
      <c r="AF105" s="235" t="s">
        <v>9</v>
      </c>
      <c r="AG105" s="235" t="s">
        <v>80</v>
      </c>
      <c r="AH105" s="235" t="s">
        <v>10</v>
      </c>
      <c r="AI105" s="235" t="s">
        <v>11</v>
      </c>
    </row>
    <row r="106" spans="1:35" x14ac:dyDescent="0.15">
      <c r="A106" s="125" t="str">
        <f>P106</f>
        <v>2020-10</v>
      </c>
      <c r="B106" s="133">
        <f t="shared" ref="B106:B117" si="81">U106+V106+W106+X106</f>
        <v>520</v>
      </c>
      <c r="C106" s="133">
        <f t="shared" ref="C106:C117" si="82">Q106</f>
        <v>59503</v>
      </c>
      <c r="D106" s="133">
        <f t="shared" ref="D106:D117" si="83">R106</f>
        <v>71822</v>
      </c>
      <c r="E106" s="133">
        <f t="shared" ref="E106:E117" si="84">S106</f>
        <v>13350</v>
      </c>
      <c r="F106" s="133">
        <f t="shared" ref="F106:F117" si="85">T106</f>
        <v>2723</v>
      </c>
      <c r="G106" s="133">
        <f t="shared" ref="G106:G118" si="86">Y106+Z106+AA106</f>
        <v>16433</v>
      </c>
      <c r="H106" s="133">
        <f t="shared" ref="H106:H117" si="87">AB106</f>
        <v>16465</v>
      </c>
      <c r="I106" s="133">
        <f>AC106+AD106</f>
        <v>2121</v>
      </c>
      <c r="J106" s="133">
        <f t="shared" ref="J106:J117" si="88">AE106</f>
        <v>2104</v>
      </c>
      <c r="K106" s="133">
        <f t="shared" ref="K106:K117" si="89">AF106</f>
        <v>3067</v>
      </c>
      <c r="L106" s="133">
        <f t="shared" ref="L106:L117" si="90">AG106</f>
        <v>3762</v>
      </c>
      <c r="M106" s="133">
        <f t="shared" ref="M106:M117" si="91">AH106</f>
        <v>19523</v>
      </c>
      <c r="N106" s="133">
        <f t="shared" ref="N106:N118" si="92">SUM(B106:M106)</f>
        <v>211393</v>
      </c>
      <c r="P106" s="66" t="str">
        <f>P55</f>
        <v>2020-10</v>
      </c>
      <c r="Q106" s="292">
        <v>59503</v>
      </c>
      <c r="R106" s="292">
        <v>71822</v>
      </c>
      <c r="S106" s="292">
        <v>13350</v>
      </c>
      <c r="T106" s="292">
        <v>2723</v>
      </c>
      <c r="U106" s="292">
        <v>179</v>
      </c>
      <c r="V106" s="292">
        <v>46</v>
      </c>
      <c r="W106" s="292"/>
      <c r="X106" s="292">
        <v>295</v>
      </c>
      <c r="Y106" s="292">
        <v>16433</v>
      </c>
      <c r="Z106" s="292">
        <v>0</v>
      </c>
      <c r="AA106" s="292">
        <v>0</v>
      </c>
      <c r="AB106" s="292">
        <v>16465</v>
      </c>
      <c r="AC106" s="292">
        <v>1522</v>
      </c>
      <c r="AD106" s="292">
        <v>599</v>
      </c>
      <c r="AE106" s="292">
        <v>2104</v>
      </c>
      <c r="AF106" s="292">
        <v>3067</v>
      </c>
      <c r="AG106" s="292">
        <v>3762</v>
      </c>
      <c r="AH106" s="292">
        <v>19523</v>
      </c>
      <c r="AI106" s="234">
        <f t="shared" ref="AI106:AI117" si="93">SUM(Q106:AH106)</f>
        <v>211393</v>
      </c>
    </row>
    <row r="107" spans="1:35" x14ac:dyDescent="0.15">
      <c r="A107" s="125" t="str">
        <f t="shared" ref="A107:A117" si="94">P107</f>
        <v>2020-11</v>
      </c>
      <c r="B107" s="133">
        <f t="shared" si="81"/>
        <v>494</v>
      </c>
      <c r="C107" s="133">
        <f t="shared" si="82"/>
        <v>61938</v>
      </c>
      <c r="D107" s="133">
        <f t="shared" si="83"/>
        <v>14795</v>
      </c>
      <c r="E107" s="133">
        <f t="shared" si="84"/>
        <v>13201</v>
      </c>
      <c r="F107" s="133">
        <f t="shared" si="85"/>
        <v>2830</v>
      </c>
      <c r="G107" s="133">
        <f t="shared" si="86"/>
        <v>19244</v>
      </c>
      <c r="H107" s="133">
        <f t="shared" si="87"/>
        <v>19286</v>
      </c>
      <c r="I107" s="133">
        <f t="shared" ref="I107:I118" si="95">AC107+AD107</f>
        <v>2044</v>
      </c>
      <c r="J107" s="133">
        <f t="shared" si="88"/>
        <v>2322</v>
      </c>
      <c r="K107" s="133">
        <f t="shared" si="89"/>
        <v>3216</v>
      </c>
      <c r="L107" s="133">
        <f t="shared" si="90"/>
        <v>4134</v>
      </c>
      <c r="M107" s="133">
        <f t="shared" si="91"/>
        <v>18649</v>
      </c>
      <c r="N107" s="133">
        <f t="shared" si="92"/>
        <v>162153</v>
      </c>
      <c r="P107" s="66" t="str">
        <f t="shared" ref="P107:P117" si="96">P56</f>
        <v>2020-11</v>
      </c>
      <c r="Q107" s="292">
        <v>61938</v>
      </c>
      <c r="R107" s="292">
        <v>14795</v>
      </c>
      <c r="S107" s="292">
        <v>13201</v>
      </c>
      <c r="T107" s="292">
        <v>2830</v>
      </c>
      <c r="U107" s="292">
        <v>160</v>
      </c>
      <c r="V107" s="292">
        <v>38</v>
      </c>
      <c r="W107" s="292"/>
      <c r="X107" s="292">
        <v>296</v>
      </c>
      <c r="Y107" s="292">
        <v>19244</v>
      </c>
      <c r="Z107" s="292">
        <v>0</v>
      </c>
      <c r="AA107" s="292">
        <v>0</v>
      </c>
      <c r="AB107" s="292">
        <v>19286</v>
      </c>
      <c r="AC107" s="292">
        <v>1410</v>
      </c>
      <c r="AD107" s="292">
        <v>634</v>
      </c>
      <c r="AE107" s="292">
        <v>2322</v>
      </c>
      <c r="AF107" s="292">
        <v>3216</v>
      </c>
      <c r="AG107" s="292">
        <v>4134</v>
      </c>
      <c r="AH107" s="292">
        <v>18649</v>
      </c>
      <c r="AI107" s="234">
        <f t="shared" si="93"/>
        <v>162153</v>
      </c>
    </row>
    <row r="108" spans="1:35" x14ac:dyDescent="0.15">
      <c r="A108" s="125" t="str">
        <f t="shared" si="94"/>
        <v>2020-12</v>
      </c>
      <c r="B108" s="133">
        <f t="shared" si="81"/>
        <v>506</v>
      </c>
      <c r="C108" s="133">
        <f t="shared" si="82"/>
        <v>66178</v>
      </c>
      <c r="D108" s="133">
        <f t="shared" si="83"/>
        <v>22215</v>
      </c>
      <c r="E108" s="133">
        <f t="shared" si="84"/>
        <v>13263</v>
      </c>
      <c r="F108" s="133">
        <f t="shared" si="85"/>
        <v>3137</v>
      </c>
      <c r="G108" s="133">
        <f t="shared" si="86"/>
        <v>17613</v>
      </c>
      <c r="H108" s="133">
        <f t="shared" si="87"/>
        <v>17651</v>
      </c>
      <c r="I108" s="133">
        <f t="shared" si="95"/>
        <v>2058</v>
      </c>
      <c r="J108" s="133">
        <f t="shared" si="88"/>
        <v>1911</v>
      </c>
      <c r="K108" s="133">
        <f t="shared" si="89"/>
        <v>2887</v>
      </c>
      <c r="L108" s="133">
        <f t="shared" si="90"/>
        <v>3362</v>
      </c>
      <c r="M108" s="133">
        <f t="shared" si="91"/>
        <v>15060</v>
      </c>
      <c r="N108" s="133">
        <f t="shared" si="92"/>
        <v>165841</v>
      </c>
      <c r="P108" s="66" t="str">
        <f t="shared" si="96"/>
        <v>2020-12</v>
      </c>
      <c r="Q108" s="292">
        <v>66178</v>
      </c>
      <c r="R108" s="292">
        <v>22215</v>
      </c>
      <c r="S108" s="292">
        <v>13263</v>
      </c>
      <c r="T108" s="292">
        <v>3137</v>
      </c>
      <c r="U108" s="292">
        <v>200</v>
      </c>
      <c r="V108" s="292">
        <v>11</v>
      </c>
      <c r="W108" s="292"/>
      <c r="X108" s="292">
        <v>295</v>
      </c>
      <c r="Y108" s="292">
        <v>17613</v>
      </c>
      <c r="Z108" s="292">
        <v>0</v>
      </c>
      <c r="AA108" s="292">
        <v>0</v>
      </c>
      <c r="AB108" s="292">
        <v>17651</v>
      </c>
      <c r="AC108" s="292">
        <v>1469</v>
      </c>
      <c r="AD108" s="292">
        <v>589</v>
      </c>
      <c r="AE108" s="292">
        <v>1911</v>
      </c>
      <c r="AF108" s="292">
        <v>2887</v>
      </c>
      <c r="AG108" s="292">
        <v>3362</v>
      </c>
      <c r="AH108" s="292">
        <v>15060</v>
      </c>
      <c r="AI108" s="234">
        <f t="shared" si="93"/>
        <v>165841</v>
      </c>
    </row>
    <row r="109" spans="1:35" x14ac:dyDescent="0.15">
      <c r="A109" s="125" t="str">
        <f t="shared" si="94"/>
        <v>2021-01</v>
      </c>
      <c r="B109" s="133">
        <f t="shared" si="81"/>
        <v>503</v>
      </c>
      <c r="C109" s="133">
        <f t="shared" si="82"/>
        <v>75924</v>
      </c>
      <c r="D109" s="133">
        <f t="shared" si="83"/>
        <v>20783</v>
      </c>
      <c r="E109" s="133">
        <f t="shared" si="84"/>
        <v>12727</v>
      </c>
      <c r="F109" s="133">
        <f t="shared" si="85"/>
        <v>3562</v>
      </c>
      <c r="G109" s="133">
        <f t="shared" si="86"/>
        <v>19332</v>
      </c>
      <c r="H109" s="133">
        <f t="shared" si="87"/>
        <v>19415</v>
      </c>
      <c r="I109" s="133">
        <f t="shared" si="95"/>
        <v>1899</v>
      </c>
      <c r="J109" s="133">
        <f t="shared" si="88"/>
        <v>1677</v>
      </c>
      <c r="K109" s="133">
        <f t="shared" si="89"/>
        <v>2502</v>
      </c>
      <c r="L109" s="133">
        <f t="shared" si="90"/>
        <v>3207</v>
      </c>
      <c r="M109" s="133">
        <f t="shared" si="91"/>
        <v>13513</v>
      </c>
      <c r="N109" s="133">
        <f t="shared" si="92"/>
        <v>175044</v>
      </c>
      <c r="P109" s="66" t="str">
        <f t="shared" si="96"/>
        <v>2021-01</v>
      </c>
      <c r="Q109" s="292">
        <v>75924</v>
      </c>
      <c r="R109" s="292">
        <v>20783</v>
      </c>
      <c r="S109" s="292">
        <v>12727</v>
      </c>
      <c r="T109" s="292">
        <v>3562</v>
      </c>
      <c r="U109" s="292">
        <v>177</v>
      </c>
      <c r="V109" s="292">
        <v>18</v>
      </c>
      <c r="W109" s="292"/>
      <c r="X109" s="292">
        <v>308</v>
      </c>
      <c r="Y109" s="292">
        <v>19332</v>
      </c>
      <c r="Z109" s="292">
        <v>0</v>
      </c>
      <c r="AA109" s="292">
        <v>0</v>
      </c>
      <c r="AB109" s="292">
        <v>19415</v>
      </c>
      <c r="AC109" s="292">
        <v>1390</v>
      </c>
      <c r="AD109" s="292">
        <v>509</v>
      </c>
      <c r="AE109" s="292">
        <v>1677</v>
      </c>
      <c r="AF109" s="292">
        <v>2502</v>
      </c>
      <c r="AG109" s="292">
        <v>3207</v>
      </c>
      <c r="AH109" s="292">
        <v>13513</v>
      </c>
      <c r="AI109" s="234">
        <f t="shared" si="93"/>
        <v>175044</v>
      </c>
    </row>
    <row r="110" spans="1:35" x14ac:dyDescent="0.15">
      <c r="A110" s="125" t="str">
        <f t="shared" si="94"/>
        <v>2021-02</v>
      </c>
      <c r="B110" s="133">
        <f t="shared" si="81"/>
        <v>445</v>
      </c>
      <c r="C110" s="133">
        <f t="shared" si="82"/>
        <v>63531</v>
      </c>
      <c r="D110" s="133">
        <f t="shared" si="83"/>
        <v>21184</v>
      </c>
      <c r="E110" s="133">
        <f t="shared" si="84"/>
        <v>14231</v>
      </c>
      <c r="F110" s="133">
        <f t="shared" si="85"/>
        <v>10138</v>
      </c>
      <c r="G110" s="133">
        <f t="shared" si="86"/>
        <v>17495</v>
      </c>
      <c r="H110" s="133">
        <f t="shared" si="87"/>
        <v>17627</v>
      </c>
      <c r="I110" s="133">
        <f t="shared" si="95"/>
        <v>1778</v>
      </c>
      <c r="J110" s="133">
        <f t="shared" si="88"/>
        <v>3135</v>
      </c>
      <c r="K110" s="133">
        <f t="shared" si="89"/>
        <v>2868</v>
      </c>
      <c r="L110" s="133">
        <f t="shared" si="90"/>
        <v>2984</v>
      </c>
      <c r="M110" s="133">
        <f t="shared" si="91"/>
        <v>14161</v>
      </c>
      <c r="N110" s="133">
        <f t="shared" si="92"/>
        <v>169577</v>
      </c>
      <c r="P110" s="66" t="str">
        <f t="shared" si="96"/>
        <v>2021-02</v>
      </c>
      <c r="Q110" s="292">
        <v>63531</v>
      </c>
      <c r="R110" s="292">
        <v>21184</v>
      </c>
      <c r="S110" s="292">
        <v>14231</v>
      </c>
      <c r="T110" s="292">
        <v>10138</v>
      </c>
      <c r="U110" s="292">
        <v>157</v>
      </c>
      <c r="V110" s="292">
        <v>16</v>
      </c>
      <c r="W110" s="292"/>
      <c r="X110" s="292">
        <v>272</v>
      </c>
      <c r="Y110" s="292">
        <v>17495</v>
      </c>
      <c r="Z110" s="292">
        <v>0</v>
      </c>
      <c r="AA110" s="292">
        <v>0</v>
      </c>
      <c r="AB110" s="292">
        <v>17627</v>
      </c>
      <c r="AC110" s="292">
        <v>1285</v>
      </c>
      <c r="AD110" s="292">
        <v>493</v>
      </c>
      <c r="AE110" s="292">
        <v>3135</v>
      </c>
      <c r="AF110" s="292">
        <v>2868</v>
      </c>
      <c r="AG110" s="292">
        <v>2984</v>
      </c>
      <c r="AH110" s="292">
        <v>14161</v>
      </c>
      <c r="AI110" s="234">
        <f t="shared" si="93"/>
        <v>169577</v>
      </c>
    </row>
    <row r="111" spans="1:35" x14ac:dyDescent="0.15">
      <c r="A111" s="125" t="str">
        <f t="shared" si="94"/>
        <v>2021-03</v>
      </c>
      <c r="B111" s="133">
        <f t="shared" si="81"/>
        <v>602</v>
      </c>
      <c r="C111" s="133">
        <f t="shared" si="82"/>
        <v>88048</v>
      </c>
      <c r="D111" s="133">
        <f t="shared" si="83"/>
        <v>36678</v>
      </c>
      <c r="E111" s="133">
        <f t="shared" si="84"/>
        <v>16161</v>
      </c>
      <c r="F111" s="133">
        <f t="shared" si="85"/>
        <v>3553</v>
      </c>
      <c r="G111" s="133">
        <f t="shared" si="86"/>
        <v>19505</v>
      </c>
      <c r="H111" s="133">
        <f t="shared" si="87"/>
        <v>21580</v>
      </c>
      <c r="I111" s="133">
        <f t="shared" si="95"/>
        <v>2262</v>
      </c>
      <c r="J111" s="133">
        <f t="shared" si="88"/>
        <v>4523</v>
      </c>
      <c r="K111" s="133">
        <f t="shared" si="89"/>
        <v>3564</v>
      </c>
      <c r="L111" s="133">
        <f t="shared" si="90"/>
        <v>3651</v>
      </c>
      <c r="M111" s="133">
        <f t="shared" si="91"/>
        <v>16728</v>
      </c>
      <c r="N111" s="133">
        <f t="shared" si="92"/>
        <v>216855</v>
      </c>
      <c r="P111" s="66" t="str">
        <f t="shared" si="96"/>
        <v>2021-03</v>
      </c>
      <c r="Q111" s="292">
        <v>88048</v>
      </c>
      <c r="R111" s="292">
        <v>36678</v>
      </c>
      <c r="S111" s="292">
        <v>16161</v>
      </c>
      <c r="T111" s="292">
        <v>3553</v>
      </c>
      <c r="U111" s="292">
        <v>216</v>
      </c>
      <c r="V111" s="292">
        <v>14</v>
      </c>
      <c r="W111" s="292"/>
      <c r="X111" s="292">
        <v>372</v>
      </c>
      <c r="Y111" s="292">
        <v>19505</v>
      </c>
      <c r="Z111" s="292">
        <v>0</v>
      </c>
      <c r="AA111" s="292">
        <v>0</v>
      </c>
      <c r="AB111" s="292">
        <v>21580</v>
      </c>
      <c r="AC111" s="292">
        <v>1688</v>
      </c>
      <c r="AD111" s="292">
        <v>574</v>
      </c>
      <c r="AE111" s="292">
        <v>4523</v>
      </c>
      <c r="AF111" s="292">
        <v>3564</v>
      </c>
      <c r="AG111" s="292">
        <v>3651</v>
      </c>
      <c r="AH111" s="292">
        <v>16728</v>
      </c>
      <c r="AI111" s="234">
        <f t="shared" si="93"/>
        <v>216855</v>
      </c>
    </row>
    <row r="112" spans="1:35" x14ac:dyDescent="0.15">
      <c r="A112" s="125" t="str">
        <f t="shared" si="94"/>
        <v>2021-04</v>
      </c>
      <c r="B112" s="133">
        <f t="shared" si="81"/>
        <v>489</v>
      </c>
      <c r="C112" s="133">
        <f t="shared" si="82"/>
        <v>98207</v>
      </c>
      <c r="D112" s="133">
        <f t="shared" si="83"/>
        <v>31435</v>
      </c>
      <c r="E112" s="133">
        <f t="shared" si="84"/>
        <v>14425</v>
      </c>
      <c r="F112" s="133">
        <f t="shared" si="85"/>
        <v>3379</v>
      </c>
      <c r="G112" s="133">
        <f t="shared" si="86"/>
        <v>20294</v>
      </c>
      <c r="H112" s="133">
        <f t="shared" si="87"/>
        <v>22634</v>
      </c>
      <c r="I112" s="133">
        <f t="shared" si="95"/>
        <v>2353</v>
      </c>
      <c r="J112" s="133">
        <f t="shared" si="88"/>
        <v>4980</v>
      </c>
      <c r="K112" s="133">
        <f t="shared" si="89"/>
        <v>3216</v>
      </c>
      <c r="L112" s="133">
        <f t="shared" si="90"/>
        <v>3736</v>
      </c>
      <c r="M112" s="133">
        <f t="shared" si="91"/>
        <v>15417</v>
      </c>
      <c r="N112" s="133">
        <f t="shared" si="92"/>
        <v>220565</v>
      </c>
      <c r="P112" s="66" t="str">
        <f t="shared" si="96"/>
        <v>2021-04</v>
      </c>
      <c r="Q112" s="292">
        <v>98207</v>
      </c>
      <c r="R112" s="292">
        <v>31435</v>
      </c>
      <c r="S112" s="292">
        <v>14425</v>
      </c>
      <c r="T112" s="292">
        <v>3379</v>
      </c>
      <c r="U112" s="292">
        <v>117</v>
      </c>
      <c r="V112" s="292">
        <v>18</v>
      </c>
      <c r="W112" s="292"/>
      <c r="X112" s="292">
        <v>354</v>
      </c>
      <c r="Y112" s="292">
        <v>20294</v>
      </c>
      <c r="Z112" s="292">
        <v>0</v>
      </c>
      <c r="AA112" s="292">
        <v>0</v>
      </c>
      <c r="AB112" s="292">
        <v>22634</v>
      </c>
      <c r="AC112" s="292">
        <v>1595</v>
      </c>
      <c r="AD112" s="292">
        <v>758</v>
      </c>
      <c r="AE112" s="292">
        <v>4980</v>
      </c>
      <c r="AF112" s="292">
        <v>3216</v>
      </c>
      <c r="AG112" s="292">
        <v>3736</v>
      </c>
      <c r="AH112" s="292">
        <v>15417</v>
      </c>
      <c r="AI112" s="234">
        <f t="shared" si="93"/>
        <v>220565</v>
      </c>
    </row>
    <row r="113" spans="1:35" x14ac:dyDescent="0.15">
      <c r="A113" s="125" t="str">
        <f t="shared" si="94"/>
        <v>2021-05</v>
      </c>
      <c r="B113" s="133">
        <f t="shared" si="81"/>
        <v>483</v>
      </c>
      <c r="C113" s="133">
        <f t="shared" si="82"/>
        <v>84422</v>
      </c>
      <c r="D113" s="133">
        <f t="shared" si="83"/>
        <v>29808</v>
      </c>
      <c r="E113" s="133">
        <f t="shared" si="84"/>
        <v>14599</v>
      </c>
      <c r="F113" s="133">
        <f t="shared" si="85"/>
        <v>4068</v>
      </c>
      <c r="G113" s="133">
        <f t="shared" si="86"/>
        <v>17166</v>
      </c>
      <c r="H113" s="133">
        <f t="shared" si="87"/>
        <v>19494</v>
      </c>
      <c r="I113" s="133">
        <f t="shared" si="95"/>
        <v>1917</v>
      </c>
      <c r="J113" s="133">
        <f t="shared" si="88"/>
        <v>3522</v>
      </c>
      <c r="K113" s="133">
        <f t="shared" si="89"/>
        <v>3030</v>
      </c>
      <c r="L113" s="133">
        <f t="shared" si="90"/>
        <v>3185</v>
      </c>
      <c r="M113" s="133">
        <f t="shared" si="91"/>
        <v>15797</v>
      </c>
      <c r="N113" s="133">
        <f t="shared" si="92"/>
        <v>197491</v>
      </c>
      <c r="P113" s="66" t="str">
        <f t="shared" si="96"/>
        <v>2021-05</v>
      </c>
      <c r="Q113" s="292">
        <v>84422</v>
      </c>
      <c r="R113" s="292">
        <v>29808</v>
      </c>
      <c r="S113" s="292">
        <v>14599</v>
      </c>
      <c r="T113" s="292">
        <v>4068</v>
      </c>
      <c r="U113" s="292">
        <v>163</v>
      </c>
      <c r="V113" s="292">
        <v>14</v>
      </c>
      <c r="W113" s="292">
        <v>0</v>
      </c>
      <c r="X113" s="292">
        <v>306</v>
      </c>
      <c r="Y113" s="292">
        <v>17166</v>
      </c>
      <c r="Z113" s="292">
        <v>0</v>
      </c>
      <c r="AA113" s="292">
        <v>0</v>
      </c>
      <c r="AB113" s="292">
        <v>19494</v>
      </c>
      <c r="AC113" s="292">
        <v>1534</v>
      </c>
      <c r="AD113" s="292">
        <v>383</v>
      </c>
      <c r="AE113" s="292">
        <v>3522</v>
      </c>
      <c r="AF113" s="292">
        <v>3030</v>
      </c>
      <c r="AG113" s="292">
        <v>3185</v>
      </c>
      <c r="AH113" s="292">
        <v>15797</v>
      </c>
      <c r="AI113" s="234">
        <f t="shared" si="93"/>
        <v>197491</v>
      </c>
    </row>
    <row r="114" spans="1:35" x14ac:dyDescent="0.15">
      <c r="A114" s="125" t="str">
        <f t="shared" si="94"/>
        <v>2021-06</v>
      </c>
      <c r="B114" s="133">
        <f t="shared" si="81"/>
        <v>445</v>
      </c>
      <c r="C114" s="133">
        <f t="shared" si="82"/>
        <v>79522</v>
      </c>
      <c r="D114" s="133">
        <f t="shared" si="83"/>
        <v>28367</v>
      </c>
      <c r="E114" s="133">
        <f t="shared" si="84"/>
        <v>16173</v>
      </c>
      <c r="F114" s="133">
        <f t="shared" si="85"/>
        <v>3810</v>
      </c>
      <c r="G114" s="133">
        <f t="shared" si="86"/>
        <v>17113</v>
      </c>
      <c r="H114" s="133">
        <f t="shared" si="87"/>
        <v>19392</v>
      </c>
      <c r="I114" s="133">
        <f t="shared" si="95"/>
        <v>1779</v>
      </c>
      <c r="J114" s="133">
        <f t="shared" si="88"/>
        <v>3723</v>
      </c>
      <c r="K114" s="133">
        <f t="shared" si="89"/>
        <v>2967</v>
      </c>
      <c r="L114" s="133">
        <f t="shared" si="90"/>
        <v>3066</v>
      </c>
      <c r="M114" s="133">
        <f t="shared" si="91"/>
        <v>9354</v>
      </c>
      <c r="N114" s="133">
        <f t="shared" si="92"/>
        <v>185711</v>
      </c>
      <c r="P114" s="66" t="str">
        <f t="shared" si="96"/>
        <v>2021-06</v>
      </c>
      <c r="Q114" s="292">
        <v>79522</v>
      </c>
      <c r="R114" s="292">
        <v>28367</v>
      </c>
      <c r="S114" s="292">
        <v>16173</v>
      </c>
      <c r="T114" s="292">
        <v>3810</v>
      </c>
      <c r="U114" s="292">
        <v>132</v>
      </c>
      <c r="V114" s="292">
        <v>19</v>
      </c>
      <c r="W114" s="292">
        <v>0</v>
      </c>
      <c r="X114" s="292">
        <v>294</v>
      </c>
      <c r="Y114" s="292">
        <v>17113</v>
      </c>
      <c r="Z114" s="292">
        <v>0</v>
      </c>
      <c r="AA114" s="292">
        <v>0</v>
      </c>
      <c r="AB114" s="292">
        <v>19392</v>
      </c>
      <c r="AC114" s="292">
        <v>1427</v>
      </c>
      <c r="AD114" s="292">
        <v>352</v>
      </c>
      <c r="AE114" s="292">
        <v>3723</v>
      </c>
      <c r="AF114" s="292">
        <v>2967</v>
      </c>
      <c r="AG114" s="292">
        <v>3066</v>
      </c>
      <c r="AH114" s="292">
        <v>9354</v>
      </c>
      <c r="AI114" s="234">
        <f t="shared" si="93"/>
        <v>185711</v>
      </c>
    </row>
    <row r="115" spans="1:35" x14ac:dyDescent="0.15">
      <c r="A115" s="125" t="str">
        <f t="shared" si="94"/>
        <v>2021-07</v>
      </c>
      <c r="B115" s="133">
        <f t="shared" si="81"/>
        <v>400</v>
      </c>
      <c r="C115" s="133">
        <f t="shared" si="82"/>
        <v>79967</v>
      </c>
      <c r="D115" s="133">
        <f t="shared" si="83"/>
        <v>33781</v>
      </c>
      <c r="E115" s="133">
        <f t="shared" si="84"/>
        <v>13252</v>
      </c>
      <c r="F115" s="133">
        <f t="shared" si="85"/>
        <v>3586</v>
      </c>
      <c r="G115" s="133">
        <f t="shared" si="86"/>
        <v>15075</v>
      </c>
      <c r="H115" s="133">
        <f t="shared" si="87"/>
        <v>17101</v>
      </c>
      <c r="I115" s="133">
        <f t="shared" si="95"/>
        <v>1552</v>
      </c>
      <c r="J115" s="133">
        <f t="shared" si="88"/>
        <v>3300</v>
      </c>
      <c r="K115" s="133">
        <f t="shared" si="89"/>
        <v>2806</v>
      </c>
      <c r="L115" s="133">
        <f t="shared" si="90"/>
        <v>2959</v>
      </c>
      <c r="M115" s="133">
        <f t="shared" si="91"/>
        <v>7996</v>
      </c>
      <c r="N115" s="133">
        <f t="shared" si="92"/>
        <v>181775</v>
      </c>
      <c r="P115" s="66" t="str">
        <f t="shared" si="96"/>
        <v>2021-07</v>
      </c>
      <c r="Q115" s="292">
        <v>79967</v>
      </c>
      <c r="R115" s="292">
        <v>33781</v>
      </c>
      <c r="S115" s="292">
        <v>13252</v>
      </c>
      <c r="T115" s="292">
        <v>3586</v>
      </c>
      <c r="U115" s="292">
        <v>119</v>
      </c>
      <c r="V115" s="292">
        <v>27</v>
      </c>
      <c r="W115" s="292">
        <v>0</v>
      </c>
      <c r="X115" s="292">
        <v>254</v>
      </c>
      <c r="Y115" s="292">
        <v>15075</v>
      </c>
      <c r="Z115" s="292">
        <v>0</v>
      </c>
      <c r="AA115" s="292">
        <v>0</v>
      </c>
      <c r="AB115" s="292">
        <v>17101</v>
      </c>
      <c r="AC115" s="292">
        <v>1248</v>
      </c>
      <c r="AD115" s="292">
        <v>304</v>
      </c>
      <c r="AE115" s="292">
        <v>3300</v>
      </c>
      <c r="AF115" s="292">
        <v>2806</v>
      </c>
      <c r="AG115" s="292">
        <v>2959</v>
      </c>
      <c r="AH115" s="292">
        <v>7996</v>
      </c>
      <c r="AI115" s="234">
        <f t="shared" si="93"/>
        <v>181775</v>
      </c>
    </row>
    <row r="116" spans="1:35" x14ac:dyDescent="0.15">
      <c r="A116" s="125" t="str">
        <f t="shared" si="94"/>
        <v>2021-08</v>
      </c>
      <c r="B116" s="133">
        <f t="shared" si="81"/>
        <v>383</v>
      </c>
      <c r="C116" s="133">
        <f t="shared" si="82"/>
        <v>75371</v>
      </c>
      <c r="D116" s="133">
        <f t="shared" si="83"/>
        <v>33152</v>
      </c>
      <c r="E116" s="133">
        <f t="shared" si="84"/>
        <v>12947</v>
      </c>
      <c r="F116" s="133">
        <f t="shared" si="85"/>
        <v>3278</v>
      </c>
      <c r="G116" s="133">
        <f t="shared" si="86"/>
        <v>14938</v>
      </c>
      <c r="H116" s="133">
        <f t="shared" si="87"/>
        <v>16949</v>
      </c>
      <c r="I116" s="133">
        <f t="shared" si="95"/>
        <v>1449</v>
      </c>
      <c r="J116" s="133">
        <f t="shared" si="88"/>
        <v>4676</v>
      </c>
      <c r="K116" s="133">
        <f t="shared" si="89"/>
        <v>2656</v>
      </c>
      <c r="L116" s="133">
        <f t="shared" si="90"/>
        <v>3047</v>
      </c>
      <c r="M116" s="133">
        <f t="shared" si="91"/>
        <v>8558</v>
      </c>
      <c r="N116" s="133">
        <f t="shared" si="92"/>
        <v>177404</v>
      </c>
      <c r="P116" s="66" t="str">
        <f t="shared" si="96"/>
        <v>2021-08</v>
      </c>
      <c r="Q116" s="292">
        <v>75371</v>
      </c>
      <c r="R116" s="292">
        <v>33152</v>
      </c>
      <c r="S116" s="292">
        <v>12947</v>
      </c>
      <c r="T116" s="292">
        <v>3278</v>
      </c>
      <c r="U116" s="292">
        <v>113</v>
      </c>
      <c r="V116" s="292">
        <v>19</v>
      </c>
      <c r="W116" s="292">
        <v>0</v>
      </c>
      <c r="X116" s="292">
        <v>251</v>
      </c>
      <c r="Y116" s="292">
        <v>14938</v>
      </c>
      <c r="Z116" s="292">
        <v>0</v>
      </c>
      <c r="AA116" s="292">
        <v>0</v>
      </c>
      <c r="AB116" s="292">
        <v>16949</v>
      </c>
      <c r="AC116" s="292">
        <v>1148</v>
      </c>
      <c r="AD116" s="292">
        <v>301</v>
      </c>
      <c r="AE116" s="292">
        <v>4676</v>
      </c>
      <c r="AF116" s="292">
        <v>2656</v>
      </c>
      <c r="AG116" s="292">
        <v>3047</v>
      </c>
      <c r="AH116" s="292">
        <v>8558</v>
      </c>
      <c r="AI116" s="234">
        <f t="shared" si="93"/>
        <v>177404</v>
      </c>
    </row>
    <row r="117" spans="1:35" x14ac:dyDescent="0.15">
      <c r="A117" s="125" t="str">
        <f t="shared" si="94"/>
        <v>2021-09</v>
      </c>
      <c r="B117" s="133">
        <f t="shared" si="81"/>
        <v>427</v>
      </c>
      <c r="C117" s="133">
        <f t="shared" si="82"/>
        <v>85565</v>
      </c>
      <c r="D117" s="133">
        <f t="shared" si="83"/>
        <v>36360</v>
      </c>
      <c r="E117" s="133">
        <f t="shared" si="84"/>
        <v>13543</v>
      </c>
      <c r="F117" s="133">
        <f t="shared" si="85"/>
        <v>3917</v>
      </c>
      <c r="G117" s="133">
        <f t="shared" si="86"/>
        <v>15728</v>
      </c>
      <c r="H117" s="133">
        <f t="shared" si="87"/>
        <v>17957</v>
      </c>
      <c r="I117" s="133">
        <f t="shared" si="95"/>
        <v>1725</v>
      </c>
      <c r="J117" s="133">
        <f t="shared" si="88"/>
        <v>4124</v>
      </c>
      <c r="K117" s="133">
        <f t="shared" si="89"/>
        <v>2969</v>
      </c>
      <c r="L117" s="133">
        <f t="shared" si="90"/>
        <v>3781</v>
      </c>
      <c r="M117" s="133">
        <f t="shared" si="91"/>
        <v>9913</v>
      </c>
      <c r="N117" s="133">
        <f t="shared" si="92"/>
        <v>196009</v>
      </c>
      <c r="P117" s="66" t="str">
        <f t="shared" si="96"/>
        <v>2021-09</v>
      </c>
      <c r="Q117" s="292">
        <v>85565</v>
      </c>
      <c r="R117" s="292">
        <v>36360</v>
      </c>
      <c r="S117" s="292">
        <v>13543</v>
      </c>
      <c r="T117" s="292">
        <v>3917</v>
      </c>
      <c r="U117" s="292">
        <v>90</v>
      </c>
      <c r="V117" s="292">
        <v>22</v>
      </c>
      <c r="W117" s="292">
        <v>0</v>
      </c>
      <c r="X117" s="292">
        <v>315</v>
      </c>
      <c r="Y117" s="292">
        <v>15728</v>
      </c>
      <c r="Z117" s="292">
        <v>0</v>
      </c>
      <c r="AA117" s="292">
        <v>0</v>
      </c>
      <c r="AB117" s="292">
        <v>17957</v>
      </c>
      <c r="AC117" s="292">
        <v>1353</v>
      </c>
      <c r="AD117" s="292">
        <v>372</v>
      </c>
      <c r="AE117" s="292">
        <v>4124</v>
      </c>
      <c r="AF117" s="292">
        <v>2969</v>
      </c>
      <c r="AG117" s="292">
        <v>3781</v>
      </c>
      <c r="AH117" s="292">
        <v>9913</v>
      </c>
      <c r="AI117" s="234">
        <f t="shared" si="93"/>
        <v>196009</v>
      </c>
    </row>
    <row r="118" spans="1:35" x14ac:dyDescent="0.15">
      <c r="A118" s="126" t="str">
        <f>P118</f>
        <v>Total Users</v>
      </c>
      <c r="B118" s="133">
        <f>SUM(B106:B117)</f>
        <v>5697</v>
      </c>
      <c r="C118" s="133">
        <f t="shared" ref="C118:M118" si="97">SUM(C106:C117)</f>
        <v>918176</v>
      </c>
      <c r="D118" s="133">
        <f t="shared" si="97"/>
        <v>380380</v>
      </c>
      <c r="E118" s="133">
        <f t="shared" si="97"/>
        <v>167872</v>
      </c>
      <c r="F118" s="133">
        <f t="shared" si="97"/>
        <v>47981</v>
      </c>
      <c r="G118" s="133">
        <f t="shared" si="86"/>
        <v>209936</v>
      </c>
      <c r="H118" s="133">
        <f t="shared" si="97"/>
        <v>225551</v>
      </c>
      <c r="I118" s="133">
        <f t="shared" si="95"/>
        <v>22937</v>
      </c>
      <c r="J118" s="133">
        <f t="shared" si="97"/>
        <v>39997</v>
      </c>
      <c r="K118" s="133">
        <f t="shared" si="97"/>
        <v>35748</v>
      </c>
      <c r="L118" s="133">
        <f t="shared" si="97"/>
        <v>40874</v>
      </c>
      <c r="M118" s="133">
        <f t="shared" si="97"/>
        <v>164669</v>
      </c>
      <c r="N118" s="133">
        <f t="shared" si="92"/>
        <v>2259818</v>
      </c>
      <c r="P118" s="64" t="s">
        <v>157</v>
      </c>
      <c r="Q118" s="234">
        <f>SUM(Q106:Q117)</f>
        <v>918176</v>
      </c>
      <c r="R118" s="234">
        <f t="shared" ref="R118:AI118" si="98">SUM(R106:R117)</f>
        <v>380380</v>
      </c>
      <c r="S118" s="234">
        <f t="shared" si="98"/>
        <v>167872</v>
      </c>
      <c r="T118" s="234">
        <f t="shared" si="98"/>
        <v>47981</v>
      </c>
      <c r="U118" s="234">
        <f t="shared" si="98"/>
        <v>1823</v>
      </c>
      <c r="V118" s="234">
        <f t="shared" si="98"/>
        <v>262</v>
      </c>
      <c r="W118" s="234">
        <f t="shared" si="98"/>
        <v>0</v>
      </c>
      <c r="X118" s="234">
        <f t="shared" si="98"/>
        <v>3612</v>
      </c>
      <c r="Y118" s="234">
        <f t="shared" si="98"/>
        <v>209936</v>
      </c>
      <c r="Z118" s="234">
        <f t="shared" si="98"/>
        <v>0</v>
      </c>
      <c r="AA118" s="234">
        <f t="shared" si="98"/>
        <v>0</v>
      </c>
      <c r="AB118" s="234">
        <f t="shared" si="98"/>
        <v>225551</v>
      </c>
      <c r="AC118" s="234">
        <f t="shared" si="98"/>
        <v>17069</v>
      </c>
      <c r="AD118" s="234">
        <f t="shared" si="98"/>
        <v>5868</v>
      </c>
      <c r="AE118" s="234">
        <f t="shared" si="98"/>
        <v>39997</v>
      </c>
      <c r="AF118" s="234">
        <f t="shared" si="98"/>
        <v>35748</v>
      </c>
      <c r="AG118" s="234">
        <f t="shared" si="98"/>
        <v>40874</v>
      </c>
      <c r="AH118" s="234">
        <f t="shared" si="98"/>
        <v>164669</v>
      </c>
      <c r="AI118" s="234">
        <f t="shared" si="98"/>
        <v>2259818</v>
      </c>
    </row>
    <row r="119" spans="1:35" x14ac:dyDescent="0.15">
      <c r="A119" s="65" t="s">
        <v>29</v>
      </c>
      <c r="B119" s="134">
        <f>AVERAGE(B106:B117)</f>
        <v>474.75</v>
      </c>
      <c r="C119" s="134">
        <f t="shared" ref="C119:M119" si="99">AVERAGE(C106:C117)</f>
        <v>76514.666666666672</v>
      </c>
      <c r="D119" s="134">
        <f t="shared" si="99"/>
        <v>31698.333333333332</v>
      </c>
      <c r="E119" s="134">
        <f t="shared" si="99"/>
        <v>13989.333333333334</v>
      </c>
      <c r="F119" s="134">
        <f t="shared" si="99"/>
        <v>3998.4166666666665</v>
      </c>
      <c r="G119" s="134">
        <f t="shared" si="99"/>
        <v>17494.666666666668</v>
      </c>
      <c r="H119" s="134">
        <f t="shared" si="99"/>
        <v>18795.916666666668</v>
      </c>
      <c r="I119" s="134">
        <f t="shared" si="99"/>
        <v>1911.4166666666667</v>
      </c>
      <c r="J119" s="134">
        <f t="shared" si="99"/>
        <v>3333.0833333333335</v>
      </c>
      <c r="K119" s="134">
        <f t="shared" si="99"/>
        <v>2979</v>
      </c>
      <c r="L119" s="134">
        <f t="shared" si="99"/>
        <v>3406.1666666666665</v>
      </c>
      <c r="M119" s="134">
        <f t="shared" si="99"/>
        <v>13722.416666666666</v>
      </c>
      <c r="N119" s="22"/>
    </row>
    <row r="120" spans="1:35" x14ac:dyDescent="0.15">
      <c r="A120" s="291" t="s">
        <v>190</v>
      </c>
      <c r="B120" s="292">
        <v>5697</v>
      </c>
      <c r="C120" s="292">
        <v>918176</v>
      </c>
      <c r="D120" s="292">
        <v>380380</v>
      </c>
      <c r="E120" s="292">
        <v>167872</v>
      </c>
      <c r="F120" s="292">
        <v>47981</v>
      </c>
      <c r="G120" s="292">
        <v>209936</v>
      </c>
      <c r="H120" s="292">
        <v>225551</v>
      </c>
      <c r="I120" s="292">
        <v>22937</v>
      </c>
      <c r="J120" s="292">
        <v>39997</v>
      </c>
      <c r="K120" s="292">
        <v>35748</v>
      </c>
      <c r="L120" s="292">
        <v>40874</v>
      </c>
      <c r="M120" s="292">
        <v>164669</v>
      </c>
      <c r="N120" s="133">
        <f>SUM(B120:M120)</f>
        <v>2259818</v>
      </c>
      <c r="O120" s="35" t="s">
        <v>93</v>
      </c>
    </row>
    <row r="121" spans="1:35" x14ac:dyDescent="0.15">
      <c r="A121" s="291" t="s">
        <v>156</v>
      </c>
      <c r="B121" s="292">
        <v>4813</v>
      </c>
      <c r="C121" s="292">
        <v>264116</v>
      </c>
      <c r="D121" s="292">
        <v>701287</v>
      </c>
      <c r="E121" s="292">
        <v>97728</v>
      </c>
      <c r="F121" s="292">
        <v>21255</v>
      </c>
      <c r="G121" s="292">
        <v>196161</v>
      </c>
      <c r="H121" s="292">
        <v>151467</v>
      </c>
      <c r="I121" s="292">
        <v>14719</v>
      </c>
      <c r="J121" s="292">
        <v>26418</v>
      </c>
      <c r="K121" s="292">
        <v>25929</v>
      </c>
      <c r="L121" s="292">
        <v>27415</v>
      </c>
      <c r="M121" s="292">
        <v>158157</v>
      </c>
      <c r="N121" s="133">
        <f>SUM(B121:M121)</f>
        <v>1689465</v>
      </c>
      <c r="O121" s="35" t="s">
        <v>93</v>
      </c>
    </row>
    <row r="123" spans="1:35" x14ac:dyDescent="0.15">
      <c r="B123" s="387" t="s">
        <v>30</v>
      </c>
      <c r="C123" s="388"/>
      <c r="D123" s="388"/>
      <c r="E123" s="388"/>
      <c r="F123" s="388"/>
      <c r="G123" s="388"/>
      <c r="H123" s="388"/>
      <c r="I123" s="388"/>
      <c r="J123" s="388"/>
      <c r="K123" s="388"/>
      <c r="L123" s="388"/>
      <c r="M123" s="388"/>
    </row>
    <row r="124" spans="1:35" ht="28" x14ac:dyDescent="0.15">
      <c r="A124" s="149" t="s">
        <v>16</v>
      </c>
      <c r="B124" s="150" t="s">
        <v>3</v>
      </c>
      <c r="C124" s="150" t="s">
        <v>4</v>
      </c>
      <c r="D124" s="150" t="s">
        <v>5</v>
      </c>
      <c r="E124" s="150" t="s">
        <v>6</v>
      </c>
      <c r="F124" s="150" t="s">
        <v>7</v>
      </c>
      <c r="G124" s="151" t="s">
        <v>14</v>
      </c>
      <c r="H124" s="152" t="s">
        <v>123</v>
      </c>
      <c r="I124" s="151" t="s">
        <v>8</v>
      </c>
      <c r="J124" s="151" t="s">
        <v>17</v>
      </c>
      <c r="K124" s="151" t="s">
        <v>9</v>
      </c>
      <c r="L124" s="151" t="s">
        <v>12</v>
      </c>
      <c r="M124" s="151" t="s">
        <v>10</v>
      </c>
    </row>
    <row r="125" spans="1:35" x14ac:dyDescent="0.15">
      <c r="A125" s="189">
        <f>A89</f>
        <v>44105</v>
      </c>
      <c r="B125" s="194">
        <f>B106-B$119</f>
        <v>45.25</v>
      </c>
      <c r="C125" s="194">
        <f t="shared" ref="C125:M125" si="100">C106-C$119</f>
        <v>-17011.666666666672</v>
      </c>
      <c r="D125" s="194">
        <f t="shared" si="100"/>
        <v>40123.666666666672</v>
      </c>
      <c r="E125" s="194">
        <f t="shared" si="100"/>
        <v>-639.33333333333394</v>
      </c>
      <c r="F125" s="194">
        <f t="shared" si="100"/>
        <v>-1275.4166666666665</v>
      </c>
      <c r="G125" s="194">
        <f t="shared" si="100"/>
        <v>-1061.6666666666679</v>
      </c>
      <c r="H125" s="194">
        <f t="shared" si="100"/>
        <v>-2330.9166666666679</v>
      </c>
      <c r="I125" s="194">
        <f t="shared" si="100"/>
        <v>209.58333333333326</v>
      </c>
      <c r="J125" s="194">
        <f t="shared" si="100"/>
        <v>-1229.0833333333335</v>
      </c>
      <c r="K125" s="194">
        <f t="shared" si="100"/>
        <v>88</v>
      </c>
      <c r="L125" s="194">
        <f t="shared" si="100"/>
        <v>355.83333333333348</v>
      </c>
      <c r="M125" s="194">
        <f t="shared" si="100"/>
        <v>5800.5833333333339</v>
      </c>
      <c r="N125" s="14"/>
      <c r="O125" s="14"/>
    </row>
    <row r="126" spans="1:35" x14ac:dyDescent="0.15">
      <c r="A126" s="189">
        <f t="shared" ref="A126:A136" si="101">A90</f>
        <v>44136</v>
      </c>
      <c r="B126" s="194">
        <f t="shared" ref="B126:M126" si="102">B107-B$119</f>
        <v>19.25</v>
      </c>
      <c r="C126" s="194">
        <f t="shared" si="102"/>
        <v>-14576.666666666672</v>
      </c>
      <c r="D126" s="194">
        <f t="shared" si="102"/>
        <v>-16903.333333333332</v>
      </c>
      <c r="E126" s="194">
        <f t="shared" si="102"/>
        <v>-788.33333333333394</v>
      </c>
      <c r="F126" s="194">
        <f t="shared" si="102"/>
        <v>-1168.4166666666665</v>
      </c>
      <c r="G126" s="194">
        <f t="shared" si="102"/>
        <v>1749.3333333333321</v>
      </c>
      <c r="H126" s="194">
        <f t="shared" si="102"/>
        <v>490.08333333333212</v>
      </c>
      <c r="I126" s="194">
        <f t="shared" si="102"/>
        <v>132.58333333333326</v>
      </c>
      <c r="J126" s="194">
        <f t="shared" si="102"/>
        <v>-1011.0833333333335</v>
      </c>
      <c r="K126" s="194">
        <f t="shared" si="102"/>
        <v>237</v>
      </c>
      <c r="L126" s="194">
        <f t="shared" si="102"/>
        <v>727.83333333333348</v>
      </c>
      <c r="M126" s="194">
        <f t="shared" si="102"/>
        <v>4926.5833333333339</v>
      </c>
    </row>
    <row r="127" spans="1:35" x14ac:dyDescent="0.15">
      <c r="A127" s="189">
        <f t="shared" si="101"/>
        <v>44166</v>
      </c>
      <c r="B127" s="194">
        <f t="shared" ref="B127:M127" si="103">B108-B$119</f>
        <v>31.25</v>
      </c>
      <c r="C127" s="194">
        <f t="shared" si="103"/>
        <v>-10336.666666666672</v>
      </c>
      <c r="D127" s="194">
        <f t="shared" si="103"/>
        <v>-9483.3333333333321</v>
      </c>
      <c r="E127" s="194">
        <f t="shared" si="103"/>
        <v>-726.33333333333394</v>
      </c>
      <c r="F127" s="194">
        <f t="shared" si="103"/>
        <v>-861.41666666666652</v>
      </c>
      <c r="G127" s="194">
        <f t="shared" si="103"/>
        <v>118.33333333333212</v>
      </c>
      <c r="H127" s="194">
        <f t="shared" si="103"/>
        <v>-1144.9166666666679</v>
      </c>
      <c r="I127" s="194">
        <f t="shared" si="103"/>
        <v>146.58333333333326</v>
      </c>
      <c r="J127" s="194">
        <f t="shared" si="103"/>
        <v>-1422.0833333333335</v>
      </c>
      <c r="K127" s="194">
        <f t="shared" si="103"/>
        <v>-92</v>
      </c>
      <c r="L127" s="194">
        <f t="shared" si="103"/>
        <v>-44.166666666666515</v>
      </c>
      <c r="M127" s="194">
        <f t="shared" si="103"/>
        <v>1337.5833333333339</v>
      </c>
    </row>
    <row r="128" spans="1:35" x14ac:dyDescent="0.15">
      <c r="A128" s="189">
        <f t="shared" si="101"/>
        <v>44197</v>
      </c>
      <c r="B128" s="194">
        <f t="shared" ref="B128:M128" si="104">B109-B$119</f>
        <v>28.25</v>
      </c>
      <c r="C128" s="194">
        <f t="shared" si="104"/>
        <v>-590.66666666667152</v>
      </c>
      <c r="D128" s="194">
        <f t="shared" si="104"/>
        <v>-10915.333333333332</v>
      </c>
      <c r="E128" s="194">
        <f t="shared" si="104"/>
        <v>-1262.3333333333339</v>
      </c>
      <c r="F128" s="194">
        <f t="shared" si="104"/>
        <v>-436.41666666666652</v>
      </c>
      <c r="G128" s="194">
        <f t="shared" si="104"/>
        <v>1837.3333333333321</v>
      </c>
      <c r="H128" s="194">
        <f t="shared" si="104"/>
        <v>619.08333333333212</v>
      </c>
      <c r="I128" s="194">
        <f t="shared" si="104"/>
        <v>-12.416666666666742</v>
      </c>
      <c r="J128" s="194">
        <f t="shared" si="104"/>
        <v>-1656.0833333333335</v>
      </c>
      <c r="K128" s="194">
        <f t="shared" si="104"/>
        <v>-477</v>
      </c>
      <c r="L128" s="194">
        <f t="shared" si="104"/>
        <v>-199.16666666666652</v>
      </c>
      <c r="M128" s="194">
        <f t="shared" si="104"/>
        <v>-209.41666666666606</v>
      </c>
    </row>
    <row r="129" spans="1:14" x14ac:dyDescent="0.15">
      <c r="A129" s="189">
        <f t="shared" si="101"/>
        <v>44228</v>
      </c>
      <c r="B129" s="194">
        <f t="shared" ref="B129:M129" si="105">B110-B$119</f>
        <v>-29.75</v>
      </c>
      <c r="C129" s="194">
        <f t="shared" si="105"/>
        <v>-12983.666666666672</v>
      </c>
      <c r="D129" s="194">
        <f t="shared" si="105"/>
        <v>-10514.333333333332</v>
      </c>
      <c r="E129" s="194">
        <f t="shared" si="105"/>
        <v>241.66666666666606</v>
      </c>
      <c r="F129" s="194">
        <f t="shared" si="105"/>
        <v>6139.5833333333339</v>
      </c>
      <c r="G129" s="194">
        <f t="shared" si="105"/>
        <v>0.33333333333212067</v>
      </c>
      <c r="H129" s="194">
        <f t="shared" si="105"/>
        <v>-1168.9166666666679</v>
      </c>
      <c r="I129" s="194">
        <f t="shared" si="105"/>
        <v>-133.41666666666674</v>
      </c>
      <c r="J129" s="194">
        <f t="shared" si="105"/>
        <v>-198.08333333333348</v>
      </c>
      <c r="K129" s="194">
        <f t="shared" si="105"/>
        <v>-111</v>
      </c>
      <c r="L129" s="194">
        <f t="shared" si="105"/>
        <v>-422.16666666666652</v>
      </c>
      <c r="M129" s="194">
        <f t="shared" si="105"/>
        <v>438.58333333333394</v>
      </c>
    </row>
    <row r="130" spans="1:14" x14ac:dyDescent="0.15">
      <c r="A130" s="189">
        <f t="shared" si="101"/>
        <v>44256</v>
      </c>
      <c r="B130" s="194">
        <f t="shared" ref="B130:M130" si="106">B111-B$119</f>
        <v>127.25</v>
      </c>
      <c r="C130" s="194">
        <f t="shared" si="106"/>
        <v>11533.333333333328</v>
      </c>
      <c r="D130" s="194">
        <f t="shared" si="106"/>
        <v>4979.6666666666679</v>
      </c>
      <c r="E130" s="194">
        <f t="shared" si="106"/>
        <v>2171.6666666666661</v>
      </c>
      <c r="F130" s="194">
        <f t="shared" si="106"/>
        <v>-445.41666666666652</v>
      </c>
      <c r="G130" s="194">
        <f t="shared" si="106"/>
        <v>2010.3333333333321</v>
      </c>
      <c r="H130" s="194">
        <f t="shared" si="106"/>
        <v>2784.0833333333321</v>
      </c>
      <c r="I130" s="194">
        <f t="shared" si="106"/>
        <v>350.58333333333326</v>
      </c>
      <c r="J130" s="194">
        <f t="shared" si="106"/>
        <v>1189.9166666666665</v>
      </c>
      <c r="K130" s="194">
        <f t="shared" si="106"/>
        <v>585</v>
      </c>
      <c r="L130" s="194">
        <f t="shared" si="106"/>
        <v>244.83333333333348</v>
      </c>
      <c r="M130" s="194">
        <f t="shared" si="106"/>
        <v>3005.5833333333339</v>
      </c>
    </row>
    <row r="131" spans="1:14" x14ac:dyDescent="0.15">
      <c r="A131" s="189">
        <f t="shared" si="101"/>
        <v>44287</v>
      </c>
      <c r="B131" s="194">
        <f t="shared" ref="B131:M131" si="107">B112-B$119</f>
        <v>14.25</v>
      </c>
      <c r="C131" s="194">
        <f t="shared" si="107"/>
        <v>21692.333333333328</v>
      </c>
      <c r="D131" s="194">
        <f t="shared" si="107"/>
        <v>-263.33333333333212</v>
      </c>
      <c r="E131" s="194">
        <f t="shared" si="107"/>
        <v>435.66666666666606</v>
      </c>
      <c r="F131" s="194">
        <f t="shared" si="107"/>
        <v>-619.41666666666652</v>
      </c>
      <c r="G131" s="194">
        <f t="shared" si="107"/>
        <v>2799.3333333333321</v>
      </c>
      <c r="H131" s="194">
        <f t="shared" si="107"/>
        <v>3838.0833333333321</v>
      </c>
      <c r="I131" s="194">
        <f t="shared" si="107"/>
        <v>441.58333333333326</v>
      </c>
      <c r="J131" s="194">
        <f t="shared" si="107"/>
        <v>1646.9166666666665</v>
      </c>
      <c r="K131" s="194">
        <f t="shared" si="107"/>
        <v>237</v>
      </c>
      <c r="L131" s="194">
        <f t="shared" si="107"/>
        <v>329.83333333333348</v>
      </c>
      <c r="M131" s="194">
        <f t="shared" si="107"/>
        <v>1694.5833333333339</v>
      </c>
    </row>
    <row r="132" spans="1:14" x14ac:dyDescent="0.15">
      <c r="A132" s="189">
        <f t="shared" si="101"/>
        <v>44317</v>
      </c>
      <c r="B132" s="194">
        <f t="shared" ref="B132:M132" si="108">B113-B$119</f>
        <v>8.25</v>
      </c>
      <c r="C132" s="194">
        <f t="shared" si="108"/>
        <v>7907.3333333333285</v>
      </c>
      <c r="D132" s="194">
        <f t="shared" si="108"/>
        <v>-1890.3333333333321</v>
      </c>
      <c r="E132" s="194">
        <f t="shared" si="108"/>
        <v>609.66666666666606</v>
      </c>
      <c r="F132" s="194">
        <f t="shared" si="108"/>
        <v>69.583333333333485</v>
      </c>
      <c r="G132" s="194">
        <f t="shared" si="108"/>
        <v>-328.66666666666788</v>
      </c>
      <c r="H132" s="194">
        <f t="shared" si="108"/>
        <v>698.08333333333212</v>
      </c>
      <c r="I132" s="194">
        <f t="shared" si="108"/>
        <v>5.5833333333332575</v>
      </c>
      <c r="J132" s="194">
        <f t="shared" si="108"/>
        <v>188.91666666666652</v>
      </c>
      <c r="K132" s="194">
        <f t="shared" si="108"/>
        <v>51</v>
      </c>
      <c r="L132" s="194">
        <f t="shared" si="108"/>
        <v>-221.16666666666652</v>
      </c>
      <c r="M132" s="194">
        <f t="shared" si="108"/>
        <v>2074.5833333333339</v>
      </c>
    </row>
    <row r="133" spans="1:14" x14ac:dyDescent="0.15">
      <c r="A133" s="189">
        <f t="shared" si="101"/>
        <v>44348</v>
      </c>
      <c r="B133" s="194">
        <f t="shared" ref="B133:M133" si="109">B114-B$119</f>
        <v>-29.75</v>
      </c>
      <c r="C133" s="194">
        <f t="shared" si="109"/>
        <v>3007.3333333333285</v>
      </c>
      <c r="D133" s="194">
        <f t="shared" si="109"/>
        <v>-3331.3333333333321</v>
      </c>
      <c r="E133" s="194">
        <f t="shared" si="109"/>
        <v>2183.6666666666661</v>
      </c>
      <c r="F133" s="194">
        <f t="shared" si="109"/>
        <v>-188.41666666666652</v>
      </c>
      <c r="G133" s="194">
        <f t="shared" si="109"/>
        <v>-381.66666666666788</v>
      </c>
      <c r="H133" s="194">
        <f t="shared" si="109"/>
        <v>596.08333333333212</v>
      </c>
      <c r="I133" s="194">
        <f t="shared" si="109"/>
        <v>-132.41666666666674</v>
      </c>
      <c r="J133" s="194">
        <f t="shared" si="109"/>
        <v>389.91666666666652</v>
      </c>
      <c r="K133" s="194">
        <f t="shared" si="109"/>
        <v>-12</v>
      </c>
      <c r="L133" s="194">
        <f t="shared" si="109"/>
        <v>-340.16666666666652</v>
      </c>
      <c r="M133" s="194">
        <f t="shared" si="109"/>
        <v>-4368.4166666666661</v>
      </c>
    </row>
    <row r="134" spans="1:14" x14ac:dyDescent="0.15">
      <c r="A134" s="189">
        <f t="shared" si="101"/>
        <v>44378</v>
      </c>
      <c r="B134" s="194">
        <f t="shared" ref="B134:M134" si="110">B115-B$119</f>
        <v>-74.75</v>
      </c>
      <c r="C134" s="194">
        <f t="shared" si="110"/>
        <v>3452.3333333333285</v>
      </c>
      <c r="D134" s="194">
        <f t="shared" si="110"/>
        <v>2082.6666666666679</v>
      </c>
      <c r="E134" s="194">
        <f t="shared" si="110"/>
        <v>-737.33333333333394</v>
      </c>
      <c r="F134" s="194">
        <f t="shared" si="110"/>
        <v>-412.41666666666652</v>
      </c>
      <c r="G134" s="194">
        <f t="shared" si="110"/>
        <v>-2419.6666666666679</v>
      </c>
      <c r="H134" s="194">
        <f t="shared" si="110"/>
        <v>-1694.9166666666679</v>
      </c>
      <c r="I134" s="194">
        <f t="shared" si="110"/>
        <v>-359.41666666666674</v>
      </c>
      <c r="J134" s="194">
        <f t="shared" si="110"/>
        <v>-33.083333333333485</v>
      </c>
      <c r="K134" s="194">
        <f t="shared" si="110"/>
        <v>-173</v>
      </c>
      <c r="L134" s="194">
        <f t="shared" si="110"/>
        <v>-447.16666666666652</v>
      </c>
      <c r="M134" s="194">
        <f t="shared" si="110"/>
        <v>-5726.4166666666661</v>
      </c>
    </row>
    <row r="135" spans="1:14" x14ac:dyDescent="0.15">
      <c r="A135" s="189">
        <f t="shared" si="101"/>
        <v>44409</v>
      </c>
      <c r="B135" s="194">
        <f t="shared" ref="B135:M135" si="111">B116-B$119</f>
        <v>-91.75</v>
      </c>
      <c r="C135" s="194">
        <f t="shared" si="111"/>
        <v>-1143.6666666666715</v>
      </c>
      <c r="D135" s="194">
        <f t="shared" si="111"/>
        <v>1453.6666666666679</v>
      </c>
      <c r="E135" s="194">
        <f t="shared" si="111"/>
        <v>-1042.3333333333339</v>
      </c>
      <c r="F135" s="194">
        <f t="shared" si="111"/>
        <v>-720.41666666666652</v>
      </c>
      <c r="G135" s="194">
        <f t="shared" si="111"/>
        <v>-2556.6666666666679</v>
      </c>
      <c r="H135" s="194">
        <f t="shared" si="111"/>
        <v>-1846.9166666666679</v>
      </c>
      <c r="I135" s="194">
        <f t="shared" si="111"/>
        <v>-462.41666666666674</v>
      </c>
      <c r="J135" s="194">
        <f t="shared" si="111"/>
        <v>1342.9166666666665</v>
      </c>
      <c r="K135" s="194">
        <f t="shared" si="111"/>
        <v>-323</v>
      </c>
      <c r="L135" s="194">
        <f t="shared" si="111"/>
        <v>-359.16666666666652</v>
      </c>
      <c r="M135" s="194">
        <f t="shared" si="111"/>
        <v>-5164.4166666666661</v>
      </c>
    </row>
    <row r="136" spans="1:14" x14ac:dyDescent="0.15">
      <c r="A136" s="189">
        <f t="shared" si="101"/>
        <v>44440</v>
      </c>
      <c r="B136" s="194">
        <f t="shared" ref="B136:M136" si="112">B117-B$119</f>
        <v>-47.75</v>
      </c>
      <c r="C136" s="194">
        <f t="shared" si="112"/>
        <v>9050.3333333333285</v>
      </c>
      <c r="D136" s="194">
        <f t="shared" si="112"/>
        <v>4661.6666666666679</v>
      </c>
      <c r="E136" s="194">
        <f t="shared" si="112"/>
        <v>-446.33333333333394</v>
      </c>
      <c r="F136" s="194">
        <f t="shared" si="112"/>
        <v>-81.416666666666515</v>
      </c>
      <c r="G136" s="194">
        <f t="shared" si="112"/>
        <v>-1766.6666666666679</v>
      </c>
      <c r="H136" s="194">
        <f t="shared" si="112"/>
        <v>-838.91666666666788</v>
      </c>
      <c r="I136" s="194">
        <f t="shared" si="112"/>
        <v>-186.41666666666674</v>
      </c>
      <c r="J136" s="194">
        <f t="shared" si="112"/>
        <v>790.91666666666652</v>
      </c>
      <c r="K136" s="194">
        <f t="shared" si="112"/>
        <v>-10</v>
      </c>
      <c r="L136" s="194">
        <f t="shared" si="112"/>
        <v>374.83333333333348</v>
      </c>
      <c r="M136" s="194">
        <f t="shared" si="112"/>
        <v>-3809.4166666666661</v>
      </c>
    </row>
    <row r="137" spans="1:14" x14ac:dyDescent="0.15">
      <c r="A137" s="149" t="s">
        <v>11</v>
      </c>
      <c r="B137" s="154">
        <f>SUM(B125:B136)</f>
        <v>0</v>
      </c>
      <c r="C137" s="154">
        <f t="shared" ref="C137:M137" si="113">SUM(C125:C136)</f>
        <v>-5.8207660913467407E-11</v>
      </c>
      <c r="D137" s="154">
        <f t="shared" si="113"/>
        <v>1.8189894035458565E-11</v>
      </c>
      <c r="E137" s="154">
        <f t="shared" si="113"/>
        <v>-7.2759576141834259E-12</v>
      </c>
      <c r="F137" s="154">
        <f t="shared" si="113"/>
        <v>2.2737367544323206E-12</v>
      </c>
      <c r="G137" s="154">
        <f t="shared" si="113"/>
        <v>-1.4551915228366852E-11</v>
      </c>
      <c r="H137" s="154">
        <f t="shared" si="113"/>
        <v>-1.4551915228366852E-11</v>
      </c>
      <c r="I137" s="154">
        <f t="shared" si="113"/>
        <v>-9.0949470177292824E-13</v>
      </c>
      <c r="J137" s="154">
        <f t="shared" si="113"/>
        <v>-2.7284841053187847E-12</v>
      </c>
      <c r="K137" s="154">
        <f t="shared" si="113"/>
        <v>0</v>
      </c>
      <c r="L137" s="154">
        <f t="shared" si="113"/>
        <v>1.8189894035458565E-12</v>
      </c>
      <c r="M137" s="154">
        <f t="shared" si="113"/>
        <v>7.2759576141834259E-12</v>
      </c>
    </row>
    <row r="138" spans="1:14" x14ac:dyDescent="0.15"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</row>
    <row r="139" spans="1:14" x14ac:dyDescent="0.15">
      <c r="B139" s="387" t="s">
        <v>31</v>
      </c>
      <c r="C139" s="388"/>
      <c r="D139" s="388"/>
      <c r="E139" s="388"/>
      <c r="F139" s="388"/>
      <c r="G139" s="388"/>
      <c r="H139" s="388"/>
      <c r="I139" s="388"/>
      <c r="J139" s="388"/>
      <c r="K139" s="388"/>
      <c r="L139" s="388"/>
      <c r="M139" s="388"/>
    </row>
    <row r="140" spans="1:14" ht="28" x14ac:dyDescent="0.15">
      <c r="A140" s="155" t="s">
        <v>16</v>
      </c>
      <c r="B140" s="195" t="s">
        <v>3</v>
      </c>
      <c r="C140" s="195" t="s">
        <v>4</v>
      </c>
      <c r="D140" s="195" t="s">
        <v>5</v>
      </c>
      <c r="E140" s="195" t="s">
        <v>6</v>
      </c>
      <c r="F140" s="195" t="s">
        <v>7</v>
      </c>
      <c r="G140" s="195" t="s">
        <v>14</v>
      </c>
      <c r="H140" s="196" t="s">
        <v>123</v>
      </c>
      <c r="I140" s="195" t="s">
        <v>8</v>
      </c>
      <c r="J140" s="195" t="s">
        <v>17</v>
      </c>
      <c r="K140" s="195" t="s">
        <v>9</v>
      </c>
      <c r="L140" s="195" t="s">
        <v>12</v>
      </c>
      <c r="M140" s="195" t="s">
        <v>10</v>
      </c>
    </row>
    <row r="141" spans="1:14" x14ac:dyDescent="0.15">
      <c r="A141" s="189">
        <f>A125</f>
        <v>44105</v>
      </c>
      <c r="B141" s="190"/>
      <c r="C141" s="190"/>
      <c r="D141" s="190"/>
      <c r="E141" s="190"/>
      <c r="F141" s="190"/>
      <c r="G141" s="190"/>
      <c r="H141" s="190"/>
      <c r="I141" s="190"/>
      <c r="J141" s="190"/>
      <c r="K141" s="190"/>
      <c r="L141" s="190"/>
      <c r="M141" s="190"/>
    </row>
    <row r="142" spans="1:14" x14ac:dyDescent="0.15">
      <c r="A142" s="189">
        <f t="shared" ref="A142:A152" si="114">A126</f>
        <v>44136</v>
      </c>
      <c r="B142" s="190">
        <f>B107-B106</f>
        <v>-26</v>
      </c>
      <c r="C142" s="190">
        <f t="shared" ref="C142:M142" si="115">C107-C106</f>
        <v>2435</v>
      </c>
      <c r="D142" s="190">
        <f t="shared" si="115"/>
        <v>-57027</v>
      </c>
      <c r="E142" s="190">
        <f t="shared" si="115"/>
        <v>-149</v>
      </c>
      <c r="F142" s="190">
        <f t="shared" si="115"/>
        <v>107</v>
      </c>
      <c r="G142" s="190">
        <f t="shared" si="115"/>
        <v>2811</v>
      </c>
      <c r="H142" s="190">
        <f t="shared" si="115"/>
        <v>2821</v>
      </c>
      <c r="I142" s="190">
        <f t="shared" si="115"/>
        <v>-77</v>
      </c>
      <c r="J142" s="190">
        <f t="shared" si="115"/>
        <v>218</v>
      </c>
      <c r="K142" s="190">
        <f t="shared" si="115"/>
        <v>149</v>
      </c>
      <c r="L142" s="190">
        <f t="shared" si="115"/>
        <v>372</v>
      </c>
      <c r="M142" s="194">
        <f t="shared" si="115"/>
        <v>-874</v>
      </c>
      <c r="N142" s="16"/>
    </row>
    <row r="143" spans="1:14" x14ac:dyDescent="0.15">
      <c r="A143" s="189">
        <f t="shared" si="114"/>
        <v>44166</v>
      </c>
      <c r="B143" s="190">
        <f t="shared" ref="B143:M143" si="116">B108-B107</f>
        <v>12</v>
      </c>
      <c r="C143" s="190">
        <f t="shared" si="116"/>
        <v>4240</v>
      </c>
      <c r="D143" s="190">
        <f t="shared" si="116"/>
        <v>7420</v>
      </c>
      <c r="E143" s="190">
        <f t="shared" si="116"/>
        <v>62</v>
      </c>
      <c r="F143" s="190">
        <f t="shared" si="116"/>
        <v>307</v>
      </c>
      <c r="G143" s="190">
        <f t="shared" si="116"/>
        <v>-1631</v>
      </c>
      <c r="H143" s="190">
        <f t="shared" si="116"/>
        <v>-1635</v>
      </c>
      <c r="I143" s="190">
        <f t="shared" si="116"/>
        <v>14</v>
      </c>
      <c r="J143" s="190">
        <f t="shared" si="116"/>
        <v>-411</v>
      </c>
      <c r="K143" s="190">
        <f t="shared" si="116"/>
        <v>-329</v>
      </c>
      <c r="L143" s="190">
        <f t="shared" si="116"/>
        <v>-772</v>
      </c>
      <c r="M143" s="194">
        <f t="shared" si="116"/>
        <v>-3589</v>
      </c>
      <c r="N143" s="16"/>
    </row>
    <row r="144" spans="1:14" x14ac:dyDescent="0.15">
      <c r="A144" s="189">
        <f t="shared" si="114"/>
        <v>44197</v>
      </c>
      <c r="B144" s="190">
        <f t="shared" ref="B144:M144" si="117">B109-B108</f>
        <v>-3</v>
      </c>
      <c r="C144" s="190">
        <f t="shared" si="117"/>
        <v>9746</v>
      </c>
      <c r="D144" s="190">
        <f t="shared" si="117"/>
        <v>-1432</v>
      </c>
      <c r="E144" s="190">
        <f t="shared" si="117"/>
        <v>-536</v>
      </c>
      <c r="F144" s="190">
        <f t="shared" si="117"/>
        <v>425</v>
      </c>
      <c r="G144" s="190">
        <f t="shared" si="117"/>
        <v>1719</v>
      </c>
      <c r="H144" s="190">
        <f t="shared" si="117"/>
        <v>1764</v>
      </c>
      <c r="I144" s="190">
        <f t="shared" si="117"/>
        <v>-159</v>
      </c>
      <c r="J144" s="190">
        <f t="shared" si="117"/>
        <v>-234</v>
      </c>
      <c r="K144" s="190">
        <f t="shared" si="117"/>
        <v>-385</v>
      </c>
      <c r="L144" s="190">
        <f t="shared" si="117"/>
        <v>-155</v>
      </c>
      <c r="M144" s="194">
        <f t="shared" si="117"/>
        <v>-1547</v>
      </c>
      <c r="N144" s="16"/>
    </row>
    <row r="145" spans="1:15" x14ac:dyDescent="0.15">
      <c r="A145" s="189">
        <f t="shared" si="114"/>
        <v>44228</v>
      </c>
      <c r="B145" s="190">
        <f t="shared" ref="B145:M145" si="118">B110-B109</f>
        <v>-58</v>
      </c>
      <c r="C145" s="190">
        <f t="shared" si="118"/>
        <v>-12393</v>
      </c>
      <c r="D145" s="190">
        <f t="shared" si="118"/>
        <v>401</v>
      </c>
      <c r="E145" s="190">
        <f t="shared" si="118"/>
        <v>1504</v>
      </c>
      <c r="F145" s="190">
        <f t="shared" si="118"/>
        <v>6576</v>
      </c>
      <c r="G145" s="190">
        <f t="shared" si="118"/>
        <v>-1837</v>
      </c>
      <c r="H145" s="190">
        <f t="shared" si="118"/>
        <v>-1788</v>
      </c>
      <c r="I145" s="190">
        <f t="shared" si="118"/>
        <v>-121</v>
      </c>
      <c r="J145" s="190">
        <f t="shared" si="118"/>
        <v>1458</v>
      </c>
      <c r="K145" s="190">
        <f t="shared" si="118"/>
        <v>366</v>
      </c>
      <c r="L145" s="190">
        <f t="shared" si="118"/>
        <v>-223</v>
      </c>
      <c r="M145" s="194">
        <f t="shared" si="118"/>
        <v>648</v>
      </c>
      <c r="N145" s="16"/>
    </row>
    <row r="146" spans="1:15" x14ac:dyDescent="0.15">
      <c r="A146" s="189">
        <f t="shared" si="114"/>
        <v>44256</v>
      </c>
      <c r="B146" s="190">
        <f t="shared" ref="B146:M146" si="119">B111-B110</f>
        <v>157</v>
      </c>
      <c r="C146" s="190">
        <f t="shared" si="119"/>
        <v>24517</v>
      </c>
      <c r="D146" s="190">
        <f t="shared" si="119"/>
        <v>15494</v>
      </c>
      <c r="E146" s="190">
        <f t="shared" si="119"/>
        <v>1930</v>
      </c>
      <c r="F146" s="190">
        <f t="shared" si="119"/>
        <v>-6585</v>
      </c>
      <c r="G146" s="190">
        <f t="shared" si="119"/>
        <v>2010</v>
      </c>
      <c r="H146" s="190">
        <f t="shared" si="119"/>
        <v>3953</v>
      </c>
      <c r="I146" s="190">
        <f t="shared" si="119"/>
        <v>484</v>
      </c>
      <c r="J146" s="190">
        <f t="shared" si="119"/>
        <v>1388</v>
      </c>
      <c r="K146" s="190">
        <f t="shared" si="119"/>
        <v>696</v>
      </c>
      <c r="L146" s="190">
        <f t="shared" si="119"/>
        <v>667</v>
      </c>
      <c r="M146" s="194">
        <f t="shared" si="119"/>
        <v>2567</v>
      </c>
      <c r="N146" s="16"/>
    </row>
    <row r="147" spans="1:15" x14ac:dyDescent="0.15">
      <c r="A147" s="189">
        <f t="shared" si="114"/>
        <v>44287</v>
      </c>
      <c r="B147" s="190">
        <f t="shared" ref="B147:M147" si="120">B112-B111</f>
        <v>-113</v>
      </c>
      <c r="C147" s="190">
        <f t="shared" si="120"/>
        <v>10159</v>
      </c>
      <c r="D147" s="190">
        <f t="shared" si="120"/>
        <v>-5243</v>
      </c>
      <c r="E147" s="190">
        <f t="shared" si="120"/>
        <v>-1736</v>
      </c>
      <c r="F147" s="190">
        <f t="shared" si="120"/>
        <v>-174</v>
      </c>
      <c r="G147" s="190">
        <f t="shared" si="120"/>
        <v>789</v>
      </c>
      <c r="H147" s="190">
        <f t="shared" si="120"/>
        <v>1054</v>
      </c>
      <c r="I147" s="190">
        <f t="shared" si="120"/>
        <v>91</v>
      </c>
      <c r="J147" s="190">
        <f t="shared" si="120"/>
        <v>457</v>
      </c>
      <c r="K147" s="190">
        <f t="shared" si="120"/>
        <v>-348</v>
      </c>
      <c r="L147" s="190">
        <f t="shared" si="120"/>
        <v>85</v>
      </c>
      <c r="M147" s="194">
        <f t="shared" si="120"/>
        <v>-1311</v>
      </c>
      <c r="N147" s="16"/>
    </row>
    <row r="148" spans="1:15" x14ac:dyDescent="0.15">
      <c r="A148" s="189">
        <f t="shared" si="114"/>
        <v>44317</v>
      </c>
      <c r="B148" s="190">
        <f t="shared" ref="B148:M148" si="121">B113-B112</f>
        <v>-6</v>
      </c>
      <c r="C148" s="190">
        <f t="shared" si="121"/>
        <v>-13785</v>
      </c>
      <c r="D148" s="190">
        <f t="shared" si="121"/>
        <v>-1627</v>
      </c>
      <c r="E148" s="190">
        <f t="shared" si="121"/>
        <v>174</v>
      </c>
      <c r="F148" s="190">
        <f t="shared" si="121"/>
        <v>689</v>
      </c>
      <c r="G148" s="190">
        <f t="shared" si="121"/>
        <v>-3128</v>
      </c>
      <c r="H148" s="190">
        <f t="shared" si="121"/>
        <v>-3140</v>
      </c>
      <c r="I148" s="190">
        <f t="shared" si="121"/>
        <v>-436</v>
      </c>
      <c r="J148" s="190">
        <f t="shared" si="121"/>
        <v>-1458</v>
      </c>
      <c r="K148" s="190">
        <f t="shared" si="121"/>
        <v>-186</v>
      </c>
      <c r="L148" s="190">
        <f t="shared" si="121"/>
        <v>-551</v>
      </c>
      <c r="M148" s="194">
        <f t="shared" si="121"/>
        <v>380</v>
      </c>
      <c r="N148" s="16"/>
    </row>
    <row r="149" spans="1:15" x14ac:dyDescent="0.15">
      <c r="A149" s="189">
        <f t="shared" si="114"/>
        <v>44348</v>
      </c>
      <c r="B149" s="190">
        <f t="shared" ref="B149:M149" si="122">B114-B113</f>
        <v>-38</v>
      </c>
      <c r="C149" s="190">
        <f t="shared" si="122"/>
        <v>-4900</v>
      </c>
      <c r="D149" s="190">
        <f t="shared" si="122"/>
        <v>-1441</v>
      </c>
      <c r="E149" s="190">
        <f t="shared" si="122"/>
        <v>1574</v>
      </c>
      <c r="F149" s="190">
        <f t="shared" si="122"/>
        <v>-258</v>
      </c>
      <c r="G149" s="190">
        <f t="shared" si="122"/>
        <v>-53</v>
      </c>
      <c r="H149" s="190">
        <f t="shared" si="122"/>
        <v>-102</v>
      </c>
      <c r="I149" s="190">
        <f t="shared" si="122"/>
        <v>-138</v>
      </c>
      <c r="J149" s="190">
        <f t="shared" si="122"/>
        <v>201</v>
      </c>
      <c r="K149" s="190">
        <f t="shared" si="122"/>
        <v>-63</v>
      </c>
      <c r="L149" s="190">
        <f t="shared" si="122"/>
        <v>-119</v>
      </c>
      <c r="M149" s="194">
        <f t="shared" si="122"/>
        <v>-6443</v>
      </c>
      <c r="N149" s="16"/>
    </row>
    <row r="150" spans="1:15" x14ac:dyDescent="0.15">
      <c r="A150" s="189">
        <f t="shared" si="114"/>
        <v>44378</v>
      </c>
      <c r="B150" s="190">
        <f t="shared" ref="B150:M150" si="123">B115-B114</f>
        <v>-45</v>
      </c>
      <c r="C150" s="190">
        <f t="shared" si="123"/>
        <v>445</v>
      </c>
      <c r="D150" s="190">
        <f t="shared" si="123"/>
        <v>5414</v>
      </c>
      <c r="E150" s="190">
        <f t="shared" si="123"/>
        <v>-2921</v>
      </c>
      <c r="F150" s="190">
        <f t="shared" si="123"/>
        <v>-224</v>
      </c>
      <c r="G150" s="190">
        <f t="shared" si="123"/>
        <v>-2038</v>
      </c>
      <c r="H150" s="190">
        <f t="shared" si="123"/>
        <v>-2291</v>
      </c>
      <c r="I150" s="190">
        <f t="shared" si="123"/>
        <v>-227</v>
      </c>
      <c r="J150" s="190">
        <f t="shared" si="123"/>
        <v>-423</v>
      </c>
      <c r="K150" s="190">
        <f t="shared" si="123"/>
        <v>-161</v>
      </c>
      <c r="L150" s="190">
        <f t="shared" si="123"/>
        <v>-107</v>
      </c>
      <c r="M150" s="194">
        <f t="shared" si="123"/>
        <v>-1358</v>
      </c>
      <c r="N150" s="16"/>
    </row>
    <row r="151" spans="1:15" x14ac:dyDescent="0.15">
      <c r="A151" s="189">
        <f t="shared" si="114"/>
        <v>44409</v>
      </c>
      <c r="B151" s="190">
        <f t="shared" ref="B151:M151" si="124">B116-B115</f>
        <v>-17</v>
      </c>
      <c r="C151" s="190">
        <f t="shared" si="124"/>
        <v>-4596</v>
      </c>
      <c r="D151" s="190">
        <f t="shared" si="124"/>
        <v>-629</v>
      </c>
      <c r="E151" s="190">
        <f t="shared" si="124"/>
        <v>-305</v>
      </c>
      <c r="F151" s="190">
        <f t="shared" si="124"/>
        <v>-308</v>
      </c>
      <c r="G151" s="190">
        <f t="shared" si="124"/>
        <v>-137</v>
      </c>
      <c r="H151" s="190">
        <f t="shared" si="124"/>
        <v>-152</v>
      </c>
      <c r="I151" s="190">
        <f t="shared" si="124"/>
        <v>-103</v>
      </c>
      <c r="J151" s="190">
        <f t="shared" si="124"/>
        <v>1376</v>
      </c>
      <c r="K151" s="190">
        <f t="shared" si="124"/>
        <v>-150</v>
      </c>
      <c r="L151" s="190">
        <f t="shared" si="124"/>
        <v>88</v>
      </c>
      <c r="M151" s="194">
        <f t="shared" si="124"/>
        <v>562</v>
      </c>
      <c r="N151" s="16"/>
    </row>
    <row r="152" spans="1:15" x14ac:dyDescent="0.15">
      <c r="A152" s="189">
        <f t="shared" si="114"/>
        <v>44440</v>
      </c>
      <c r="B152" s="190">
        <f t="shared" ref="B152:M152" si="125">B117-B116</f>
        <v>44</v>
      </c>
      <c r="C152" s="190">
        <f t="shared" si="125"/>
        <v>10194</v>
      </c>
      <c r="D152" s="190">
        <f t="shared" si="125"/>
        <v>3208</v>
      </c>
      <c r="E152" s="190">
        <f t="shared" si="125"/>
        <v>596</v>
      </c>
      <c r="F152" s="190">
        <f t="shared" si="125"/>
        <v>639</v>
      </c>
      <c r="G152" s="190">
        <f t="shared" si="125"/>
        <v>790</v>
      </c>
      <c r="H152" s="190">
        <f t="shared" si="125"/>
        <v>1008</v>
      </c>
      <c r="I152" s="190">
        <f t="shared" si="125"/>
        <v>276</v>
      </c>
      <c r="J152" s="190">
        <f t="shared" si="125"/>
        <v>-552</v>
      </c>
      <c r="K152" s="190">
        <f t="shared" si="125"/>
        <v>313</v>
      </c>
      <c r="L152" s="190">
        <f t="shared" si="125"/>
        <v>734</v>
      </c>
      <c r="M152" s="194">
        <f t="shared" si="125"/>
        <v>1355</v>
      </c>
      <c r="N152" s="16"/>
    </row>
    <row r="155" spans="1:15" ht="12.75" customHeight="1" x14ac:dyDescent="0.15">
      <c r="A155" s="395" t="s">
        <v>44</v>
      </c>
      <c r="B155" s="396"/>
      <c r="C155" s="396"/>
      <c r="D155" s="396"/>
      <c r="E155" s="396"/>
      <c r="F155" s="396"/>
      <c r="G155" s="396"/>
      <c r="H155" s="396"/>
      <c r="I155" s="396"/>
      <c r="J155" s="396"/>
      <c r="K155" s="396"/>
      <c r="L155" s="396"/>
      <c r="M155" s="396"/>
    </row>
    <row r="156" spans="1:15" ht="28" x14ac:dyDescent="0.15">
      <c r="A156" s="33" t="s">
        <v>47</v>
      </c>
      <c r="B156" s="23" t="s">
        <v>3</v>
      </c>
      <c r="C156" s="23" t="s">
        <v>4</v>
      </c>
      <c r="D156" s="23" t="s">
        <v>5</v>
      </c>
      <c r="E156" s="23" t="s">
        <v>6</v>
      </c>
      <c r="F156" s="23" t="s">
        <v>7</v>
      </c>
      <c r="G156" s="23" t="s">
        <v>14</v>
      </c>
      <c r="H156" s="24" t="s">
        <v>123</v>
      </c>
      <c r="I156" s="23" t="s">
        <v>8</v>
      </c>
      <c r="J156" s="49" t="s">
        <v>17</v>
      </c>
      <c r="K156" s="23" t="s">
        <v>9</v>
      </c>
      <c r="L156" s="23" t="s">
        <v>12</v>
      </c>
      <c r="M156" s="23" t="s">
        <v>10</v>
      </c>
      <c r="N156" s="116" t="s">
        <v>46</v>
      </c>
      <c r="O156" s="30"/>
    </row>
    <row r="157" spans="1:15" x14ac:dyDescent="0.15">
      <c r="A157" s="199" t="s">
        <v>37</v>
      </c>
      <c r="B157" s="145">
        <v>1828.7103789062501</v>
      </c>
      <c r="C157" s="145">
        <v>255.6104873046875</v>
      </c>
      <c r="D157" s="145"/>
      <c r="E157" s="145">
        <v>219.88722949218749</v>
      </c>
      <c r="F157" s="145">
        <v>3.435041015625</v>
      </c>
      <c r="G157" s="145">
        <v>1761.525625</v>
      </c>
      <c r="H157" s="145">
        <v>180.68916015625001</v>
      </c>
      <c r="I157" s="145">
        <v>125.360509765625</v>
      </c>
      <c r="J157" s="145"/>
      <c r="K157" s="145"/>
      <c r="L157" s="145">
        <v>21.843390625000001</v>
      </c>
      <c r="M157" s="145"/>
      <c r="N157" s="145">
        <f t="shared" ref="N157:N164" si="126">SUM(B157:M157)</f>
        <v>4397.0618222656249</v>
      </c>
      <c r="O157" s="18">
        <f>N157/1024</f>
        <v>4.2940056858062743</v>
      </c>
    </row>
    <row r="158" spans="1:15" x14ac:dyDescent="0.15">
      <c r="A158" s="200" t="s">
        <v>38</v>
      </c>
      <c r="B158" s="145">
        <v>2359.018</v>
      </c>
      <c r="C158" s="145">
        <v>376.68700000000001</v>
      </c>
      <c r="D158" s="145"/>
      <c r="E158" s="145">
        <v>317.83100000000002</v>
      </c>
      <c r="F158" s="145">
        <v>5.3330000000000002</v>
      </c>
      <c r="G158" s="145">
        <v>759.51099999999997</v>
      </c>
      <c r="H158" s="145">
        <v>392.52600000000001</v>
      </c>
      <c r="I158" s="145">
        <v>63.571999999999996</v>
      </c>
      <c r="J158" s="145"/>
      <c r="K158" s="145">
        <v>0.38700000000000001</v>
      </c>
      <c r="L158" s="145">
        <v>29.620999999999999</v>
      </c>
      <c r="M158" s="145"/>
      <c r="N158" s="145">
        <f t="shared" si="126"/>
        <v>4304.4859999999999</v>
      </c>
      <c r="O158" s="18">
        <f t="shared" ref="O158:O164" si="127">N158/1024</f>
        <v>4.2035996093749999</v>
      </c>
    </row>
    <row r="159" spans="1:15" x14ac:dyDescent="0.15">
      <c r="A159" s="200" t="s">
        <v>39</v>
      </c>
      <c r="B159" s="145">
        <v>2082.8297632890626</v>
      </c>
      <c r="C159" s="145">
        <v>448.4706982421875</v>
      </c>
      <c r="D159" s="145"/>
      <c r="E159" s="145">
        <v>381.539158203125</v>
      </c>
      <c r="F159" s="145">
        <v>6.8242343749999996</v>
      </c>
      <c r="G159" s="145">
        <v>822.25268164062504</v>
      </c>
      <c r="H159" s="145">
        <v>768.33581738281248</v>
      </c>
      <c r="I159" s="145">
        <v>66.057981445312507</v>
      </c>
      <c r="J159" s="145"/>
      <c r="K159" s="145">
        <v>0.41019058227539062</v>
      </c>
      <c r="L159" s="145">
        <v>32.902135742187497</v>
      </c>
      <c r="M159" s="145">
        <v>2.722111328125</v>
      </c>
      <c r="N159" s="145">
        <f t="shared" si="126"/>
        <v>4612.3447722307128</v>
      </c>
      <c r="O159" s="18">
        <f t="shared" si="127"/>
        <v>4.5042429416315555</v>
      </c>
    </row>
    <row r="160" spans="1:15" ht="14" x14ac:dyDescent="0.15">
      <c r="A160" s="201" t="s">
        <v>40</v>
      </c>
      <c r="B160" s="145">
        <v>1780.1082324218751</v>
      </c>
      <c r="C160" s="145">
        <v>1801.57</v>
      </c>
      <c r="D160" s="145">
        <v>6.03</v>
      </c>
      <c r="E160" s="145">
        <v>422.22720703124997</v>
      </c>
      <c r="F160" s="145">
        <v>6.4231972656250003</v>
      </c>
      <c r="G160" s="145">
        <v>898.95026074218754</v>
      </c>
      <c r="H160" s="145">
        <v>882.08933593749998</v>
      </c>
      <c r="I160" s="145">
        <v>64.431476562499995</v>
      </c>
      <c r="J160" s="145"/>
      <c r="K160" s="145">
        <v>4.6073242187500002E-2</v>
      </c>
      <c r="L160" s="145">
        <v>36.163331054687497</v>
      </c>
      <c r="M160" s="145">
        <v>2.8863720703125</v>
      </c>
      <c r="N160" s="145">
        <f t="shared" si="126"/>
        <v>5900.925486328124</v>
      </c>
      <c r="O160" s="18">
        <f t="shared" si="127"/>
        <v>5.7626225452423085</v>
      </c>
    </row>
    <row r="161" spans="1:23" ht="14" x14ac:dyDescent="0.15">
      <c r="A161" s="201" t="s">
        <v>41</v>
      </c>
      <c r="B161" s="145">
        <v>2167.0134765624998</v>
      </c>
      <c r="C161" s="145">
        <v>2654.908486328125</v>
      </c>
      <c r="D161" s="145">
        <v>6.74</v>
      </c>
      <c r="E161" s="145">
        <v>515.71818359375004</v>
      </c>
      <c r="F161" s="145">
        <v>7.0876269531249996</v>
      </c>
      <c r="G161" s="145">
        <v>954.17966796874998</v>
      </c>
      <c r="H161" s="145">
        <v>1159.65796875</v>
      </c>
      <c r="I161" s="145">
        <v>63.890546874999998</v>
      </c>
      <c r="J161" s="145"/>
      <c r="K161" s="145">
        <v>0.615234375</v>
      </c>
      <c r="L161" s="145">
        <v>41.469843750000003</v>
      </c>
      <c r="M161" s="145">
        <v>3.3079492187500001</v>
      </c>
      <c r="N161" s="145">
        <f t="shared" si="126"/>
        <v>7574.5889843750001</v>
      </c>
      <c r="O161" s="18">
        <f t="shared" si="127"/>
        <v>7.397059555053711</v>
      </c>
    </row>
    <row r="162" spans="1:23" ht="14" x14ac:dyDescent="0.15">
      <c r="A162" s="201" t="s">
        <v>42</v>
      </c>
      <c r="B162" s="145">
        <v>2806.56</v>
      </c>
      <c r="C162" s="145">
        <v>3597.0542089843748</v>
      </c>
      <c r="D162" s="145">
        <v>7.9962792968749996</v>
      </c>
      <c r="E162" s="145">
        <v>668.55621093750005</v>
      </c>
      <c r="F162" s="145">
        <v>9.5370605468750007</v>
      </c>
      <c r="G162" s="145">
        <v>1066.3169921875001</v>
      </c>
      <c r="H162" s="145">
        <v>1543.9236425781251</v>
      </c>
      <c r="I162" s="145">
        <v>108.343125</v>
      </c>
      <c r="J162" s="145"/>
      <c r="K162" s="145">
        <v>143.19999999999999</v>
      </c>
      <c r="L162" s="145">
        <v>44.454013671875003</v>
      </c>
      <c r="M162" s="145">
        <v>3.3409765624999999</v>
      </c>
      <c r="N162" s="145">
        <f t="shared" si="126"/>
        <v>9999.2825097656259</v>
      </c>
      <c r="O162" s="18">
        <f t="shared" si="127"/>
        <v>9.7649243259429941</v>
      </c>
    </row>
    <row r="163" spans="1:23" ht="14" x14ac:dyDescent="0.15">
      <c r="A163" s="249" t="s">
        <v>43</v>
      </c>
      <c r="B163" s="145">
        <v>3268.5614688254918</v>
      </c>
      <c r="C163" s="145">
        <v>1486.062054989158</v>
      </c>
      <c r="D163" s="145">
        <v>11.422000000000001</v>
      </c>
      <c r="E163" s="145">
        <v>775.30918685094673</v>
      </c>
      <c r="F163" s="145">
        <v>8.8079055354310096</v>
      </c>
      <c r="G163" s="145">
        <v>1131.1058336851804</v>
      </c>
      <c r="H163" s="145">
        <v>2298.7438358583699</v>
      </c>
      <c r="I163" s="145">
        <v>121.28570499155356</v>
      </c>
      <c r="J163" s="145"/>
      <c r="K163" s="145">
        <v>175.490234375</v>
      </c>
      <c r="L163" s="145">
        <v>54.879029105307303</v>
      </c>
      <c r="M163" s="145">
        <v>3.3594172669090723</v>
      </c>
      <c r="N163" s="145">
        <f t="shared" si="126"/>
        <v>9335.0266714833451</v>
      </c>
      <c r="O163" s="18">
        <f t="shared" si="127"/>
        <v>9.1162369838704542</v>
      </c>
    </row>
    <row r="164" spans="1:23" ht="14" x14ac:dyDescent="0.15">
      <c r="A164" s="201" t="s">
        <v>45</v>
      </c>
      <c r="B164" s="145">
        <v>3475</v>
      </c>
      <c r="C164" s="145">
        <v>2136.66015625</v>
      </c>
      <c r="D164" s="145">
        <v>13.209765624999999</v>
      </c>
      <c r="E164" s="145">
        <v>1161.8378222656249</v>
      </c>
      <c r="F164" s="145">
        <v>9.8950976562499999</v>
      </c>
      <c r="G164" s="145">
        <v>2468.4033984375001</v>
      </c>
      <c r="H164" s="145">
        <v>5265.4695996093751</v>
      </c>
      <c r="I164" s="145">
        <v>177.02448242187498</v>
      </c>
      <c r="J164" s="145"/>
      <c r="K164" s="145">
        <v>183.447265625</v>
      </c>
      <c r="L164" s="145">
        <v>89.562392578125014</v>
      </c>
      <c r="M164" s="145">
        <v>3.3659960937500002</v>
      </c>
      <c r="N164" s="145">
        <f t="shared" si="126"/>
        <v>14983.875976562502</v>
      </c>
      <c r="O164" s="18">
        <f t="shared" si="127"/>
        <v>14.632691383361818</v>
      </c>
    </row>
    <row r="165" spans="1:23" ht="14" x14ac:dyDescent="0.15">
      <c r="A165" s="202" t="s">
        <v>72</v>
      </c>
      <c r="B165" s="203">
        <v>4159.7939453125</v>
      </c>
      <c r="C165" s="203">
        <v>2656.0791894531249</v>
      </c>
      <c r="D165" s="203">
        <v>17.5</v>
      </c>
      <c r="E165" s="203">
        <v>1425.640654296875</v>
      </c>
      <c r="F165" s="203">
        <v>13.584150390625</v>
      </c>
      <c r="G165" s="203">
        <v>2933.262939453125</v>
      </c>
      <c r="H165" s="203">
        <v>6075.106201171875</v>
      </c>
      <c r="I165" s="203">
        <v>277.42061523437502</v>
      </c>
      <c r="J165" s="203"/>
      <c r="K165" s="203">
        <v>197.0810546875</v>
      </c>
      <c r="L165" s="203">
        <v>164.003359375</v>
      </c>
      <c r="M165" s="203">
        <v>3.7205468750000001</v>
      </c>
      <c r="N165" s="145">
        <f t="shared" ref="N165:N170" si="128">SUM(B165:M165)</f>
        <v>17923.192656250001</v>
      </c>
      <c r="O165" s="18">
        <f t="shared" ref="O165:O170" si="129">N165/1024</f>
        <v>17.503117828369142</v>
      </c>
    </row>
    <row r="166" spans="1:23" ht="14" x14ac:dyDescent="0.15">
      <c r="A166" s="202" t="s">
        <v>92</v>
      </c>
      <c r="B166" s="203">
        <v>4179.5</v>
      </c>
      <c r="C166" s="203">
        <v>5230.0020340442661</v>
      </c>
      <c r="D166" s="203">
        <v>20.16</v>
      </c>
      <c r="E166" s="203">
        <v>1682.9938281249999</v>
      </c>
      <c r="F166" s="203">
        <v>16.097031250000001</v>
      </c>
      <c r="G166" s="203">
        <v>3104.99</v>
      </c>
      <c r="H166" s="203">
        <v>5817.7347851562499</v>
      </c>
      <c r="I166" s="203">
        <v>428.189697265625</v>
      </c>
      <c r="J166" s="203">
        <v>3445.9434108734131</v>
      </c>
      <c r="K166" s="203">
        <v>202.5</v>
      </c>
      <c r="L166" s="203">
        <v>245.70528320312502</v>
      </c>
      <c r="M166" s="203">
        <v>3.88087890625</v>
      </c>
      <c r="N166" s="145">
        <f t="shared" si="128"/>
        <v>24377.69694882393</v>
      </c>
      <c r="O166" s="18">
        <f t="shared" si="129"/>
        <v>23.806344676585869</v>
      </c>
    </row>
    <row r="167" spans="1:23" ht="14" x14ac:dyDescent="0.15">
      <c r="A167" s="202" t="s">
        <v>99</v>
      </c>
      <c r="B167" s="203">
        <v>5008.96</v>
      </c>
      <c r="C167" s="203">
        <v>6550.8367006601075</v>
      </c>
      <c r="D167" s="203">
        <v>16.437886757196779</v>
      </c>
      <c r="E167" s="203">
        <v>2098.7129058316209</v>
      </c>
      <c r="F167" s="203">
        <v>27.6</v>
      </c>
      <c r="G167" s="203">
        <v>3005.56</v>
      </c>
      <c r="H167" s="203">
        <v>5239.0061333785934</v>
      </c>
      <c r="I167" s="203">
        <v>619.30999999999995</v>
      </c>
      <c r="J167" s="203">
        <v>4931.5839999999998</v>
      </c>
      <c r="K167" s="203">
        <v>203.05</v>
      </c>
      <c r="L167" s="203">
        <v>314.8735548427951</v>
      </c>
      <c r="M167" s="203">
        <v>6.3339475886841603</v>
      </c>
      <c r="N167" s="145">
        <f t="shared" si="128"/>
        <v>28022.265129058993</v>
      </c>
      <c r="O167" s="18">
        <f t="shared" si="129"/>
        <v>27.365493290096673</v>
      </c>
    </row>
    <row r="168" spans="1:23" ht="14" x14ac:dyDescent="0.15">
      <c r="A168" s="250" t="s">
        <v>124</v>
      </c>
      <c r="B168" s="251">
        <v>5554.9</v>
      </c>
      <c r="C168" s="251">
        <v>9657.3361523437507</v>
      </c>
      <c r="D168" s="251">
        <v>30.91</v>
      </c>
      <c r="E168" s="251">
        <v>2478.9318164062502</v>
      </c>
      <c r="F168" s="251">
        <v>32.299999999999997</v>
      </c>
      <c r="G168" s="251">
        <v>3322.23</v>
      </c>
      <c r="H168" s="251">
        <v>6965.8571582031254</v>
      </c>
      <c r="I168" s="251">
        <v>1058.0313964843749</v>
      </c>
      <c r="J168" s="251">
        <v>4577.28</v>
      </c>
      <c r="K168" s="251">
        <v>260.52</v>
      </c>
      <c r="L168" s="251">
        <v>456.55</v>
      </c>
      <c r="M168" s="251">
        <v>7.0993457031249996</v>
      </c>
      <c r="N168" s="145">
        <f t="shared" si="128"/>
        <v>34401.945869140618</v>
      </c>
      <c r="O168" s="18">
        <f t="shared" si="129"/>
        <v>33.595650262832635</v>
      </c>
    </row>
    <row r="169" spans="1:23" ht="14" x14ac:dyDescent="0.15">
      <c r="A169" s="250" t="s">
        <v>158</v>
      </c>
      <c r="B169" s="251">
        <v>5691.55</v>
      </c>
      <c r="C169" s="251">
        <v>12023.376552734375</v>
      </c>
      <c r="D169" s="251">
        <v>38.22</v>
      </c>
      <c r="E169" s="251">
        <v>3240.997275390625</v>
      </c>
      <c r="F169" s="251">
        <v>43.3</v>
      </c>
      <c r="G169" s="251">
        <v>5008.8744433593747</v>
      </c>
      <c r="H169" s="251">
        <v>10907.8874609375</v>
      </c>
      <c r="I169" s="251">
        <v>1393.63</v>
      </c>
      <c r="J169" s="251">
        <v>3416.1539746093749</v>
      </c>
      <c r="K169" s="251">
        <v>418.81</v>
      </c>
      <c r="L169" s="251">
        <v>672.48</v>
      </c>
      <c r="M169" s="251">
        <v>9.8629492187499999</v>
      </c>
      <c r="N169" s="145">
        <f t="shared" si="128"/>
        <v>42865.142656249998</v>
      </c>
      <c r="O169" s="18">
        <f t="shared" si="129"/>
        <v>41.860490875244139</v>
      </c>
    </row>
    <row r="170" spans="1:23" ht="14" x14ac:dyDescent="0.15">
      <c r="A170" s="293" t="s">
        <v>170</v>
      </c>
      <c r="B170" s="294">
        <v>6517.67</v>
      </c>
      <c r="C170" s="294">
        <v>17521.439999999999</v>
      </c>
      <c r="D170" s="294">
        <v>51.2</v>
      </c>
      <c r="E170" s="294">
        <v>4080.5473339843752</v>
      </c>
      <c r="F170" s="294">
        <v>67.960849609375003</v>
      </c>
      <c r="G170" s="294">
        <v>7258.2962304687508</v>
      </c>
      <c r="H170" s="294">
        <v>16560.643476562502</v>
      </c>
      <c r="I170" s="294">
        <v>2348.3197167968751</v>
      </c>
      <c r="J170" s="294">
        <v>4200.9305859374999</v>
      </c>
      <c r="K170" s="294">
        <v>665.50272460937504</v>
      </c>
      <c r="L170" s="294">
        <v>1376.2587890625</v>
      </c>
      <c r="M170" s="294">
        <v>10.573564453125</v>
      </c>
      <c r="N170" s="145">
        <f t="shared" si="128"/>
        <v>60659.34327148438</v>
      </c>
      <c r="O170" s="18">
        <f t="shared" si="129"/>
        <v>59.237639913558965</v>
      </c>
    </row>
    <row r="172" spans="1:23" ht="12.75" customHeight="1" x14ac:dyDescent="0.15">
      <c r="A172" s="393" t="s">
        <v>48</v>
      </c>
      <c r="B172" s="394"/>
      <c r="C172" s="394"/>
      <c r="D172" s="394"/>
      <c r="E172" s="394"/>
      <c r="F172" s="394"/>
      <c r="G172" s="394"/>
      <c r="H172" s="394"/>
      <c r="I172"/>
    </row>
    <row r="173" spans="1:23" ht="14" x14ac:dyDescent="0.15">
      <c r="A173" s="31" t="s">
        <v>36</v>
      </c>
      <c r="B173" s="117" t="s">
        <v>3</v>
      </c>
      <c r="C173" s="117" t="s">
        <v>4</v>
      </c>
      <c r="D173" s="117" t="s">
        <v>5</v>
      </c>
      <c r="E173" s="117" t="s">
        <v>49</v>
      </c>
      <c r="F173" s="117" t="s">
        <v>7</v>
      </c>
      <c r="G173" s="117" t="s">
        <v>14</v>
      </c>
      <c r="H173" s="117" t="s">
        <v>123</v>
      </c>
      <c r="I173" s="117" t="s">
        <v>8</v>
      </c>
      <c r="J173" s="49" t="s">
        <v>17</v>
      </c>
      <c r="K173" s="118" t="s">
        <v>9</v>
      </c>
      <c r="L173" s="117" t="s">
        <v>12</v>
      </c>
      <c r="M173" s="117" t="s">
        <v>10</v>
      </c>
      <c r="N173"/>
      <c r="O173"/>
      <c r="P173"/>
      <c r="Q173"/>
      <c r="R173"/>
      <c r="S173"/>
      <c r="T173"/>
      <c r="U173"/>
      <c r="V173"/>
      <c r="W173"/>
    </row>
    <row r="174" spans="1:23" ht="14" x14ac:dyDescent="0.15">
      <c r="A174" s="204" t="s">
        <v>37</v>
      </c>
      <c r="B174" s="205">
        <v>2.6576141684055352E-3</v>
      </c>
      <c r="C174" s="205">
        <v>4.2850024912805179E-2</v>
      </c>
      <c r="D174" s="205"/>
      <c r="E174" s="205">
        <v>0.16945548561694312</v>
      </c>
      <c r="F174" s="205"/>
      <c r="G174" s="205">
        <v>3.6466484818673699E-2</v>
      </c>
      <c r="H174" s="205">
        <v>0.37612140147288553</v>
      </c>
      <c r="I174" s="205">
        <v>2.2101237652255103E-2</v>
      </c>
      <c r="J174" s="205"/>
      <c r="K174" s="205">
        <v>0.20388598818796541</v>
      </c>
      <c r="L174" s="205">
        <v>0.3592377107575398</v>
      </c>
      <c r="M174" s="205"/>
      <c r="N174"/>
      <c r="O174"/>
      <c r="P174"/>
      <c r="Q174"/>
      <c r="R174"/>
      <c r="S174"/>
      <c r="T174"/>
      <c r="U174"/>
      <c r="V174"/>
      <c r="W174"/>
    </row>
    <row r="175" spans="1:23" ht="14" x14ac:dyDescent="0.15">
      <c r="A175" s="204" t="s">
        <v>38</v>
      </c>
      <c r="B175" s="205">
        <v>3.0116919157454165E-3</v>
      </c>
      <c r="C175" s="205">
        <v>6.5149136577708003E-2</v>
      </c>
      <c r="D175" s="205">
        <v>0.44433094994892747</v>
      </c>
      <c r="E175" s="205">
        <v>0.12795633717404487</v>
      </c>
      <c r="F175" s="205">
        <v>0.15365489806066635</v>
      </c>
      <c r="G175" s="205">
        <v>8.0339235573892609E-2</v>
      </c>
      <c r="H175" s="205">
        <v>0.3058103975535168</v>
      </c>
      <c r="I175" s="205">
        <v>3.9931447566698966E-3</v>
      </c>
      <c r="J175" s="205"/>
      <c r="K175" s="205">
        <v>0.23837126091312438</v>
      </c>
      <c r="L175" s="205">
        <v>0.30162634959682932</v>
      </c>
      <c r="M175" s="205">
        <v>8.0167851693126846E-2</v>
      </c>
      <c r="N175"/>
      <c r="O175"/>
      <c r="P175"/>
      <c r="Q175"/>
      <c r="R175"/>
      <c r="S175"/>
      <c r="T175"/>
      <c r="U175"/>
      <c r="V175"/>
      <c r="W175"/>
    </row>
    <row r="176" spans="1:23" ht="14" x14ac:dyDescent="0.15">
      <c r="A176" s="204" t="s">
        <v>39</v>
      </c>
      <c r="B176" s="205">
        <v>4.2365347001569369E-3</v>
      </c>
      <c r="C176" s="205">
        <v>4.4993735049550065E-2</v>
      </c>
      <c r="D176" s="205">
        <v>0.4325581395348837</v>
      </c>
      <c r="E176" s="205">
        <v>0.24312821204724699</v>
      </c>
      <c r="F176" s="205">
        <v>0.1547310900201323</v>
      </c>
      <c r="G176" s="205">
        <v>0.13444174335822193</v>
      </c>
      <c r="H176" s="205">
        <v>0.31578103282369291</v>
      </c>
      <c r="I176" s="205">
        <v>6.7906928177372478E-3</v>
      </c>
      <c r="J176" s="205"/>
      <c r="K176" s="205">
        <v>0.31703153988868277</v>
      </c>
      <c r="L176" s="205">
        <v>0.35940032414910861</v>
      </c>
      <c r="M176" s="205">
        <v>0.27430263839031882</v>
      </c>
      <c r="N176"/>
      <c r="O176"/>
      <c r="P176"/>
      <c r="Q176"/>
      <c r="R176"/>
      <c r="S176"/>
      <c r="T176"/>
      <c r="U176"/>
      <c r="V176"/>
      <c r="W176"/>
    </row>
    <row r="177" spans="1:23" ht="14" x14ac:dyDescent="0.15">
      <c r="A177" s="204" t="s">
        <v>40</v>
      </c>
      <c r="B177" s="205">
        <v>1.804059133049361E-3</v>
      </c>
      <c r="C177" s="205">
        <v>0.14648586707410235</v>
      </c>
      <c r="D177" s="205">
        <v>0.46153846153846156</v>
      </c>
      <c r="E177" s="205">
        <v>0.25707862269766241</v>
      </c>
      <c r="F177" s="205">
        <v>0.18175937904269082</v>
      </c>
      <c r="G177" s="205">
        <v>3.7928462661984526E-2</v>
      </c>
      <c r="H177" s="205">
        <v>4.3380262737380361E-2</v>
      </c>
      <c r="I177" s="205">
        <v>1.4999808587129399E-3</v>
      </c>
      <c r="J177" s="205"/>
      <c r="K177" s="205">
        <v>0.38507605701281589</v>
      </c>
      <c r="L177" s="205">
        <v>0.13245337159253945</v>
      </c>
      <c r="M177" s="205">
        <v>0.23747127802868234</v>
      </c>
      <c r="N177"/>
      <c r="O177"/>
      <c r="P177"/>
      <c r="Q177"/>
      <c r="R177"/>
      <c r="S177"/>
      <c r="T177"/>
      <c r="U177"/>
      <c r="V177"/>
      <c r="W177"/>
    </row>
    <row r="178" spans="1:23" ht="14" x14ac:dyDescent="0.15">
      <c r="A178" s="204" t="s">
        <v>41</v>
      </c>
      <c r="B178" s="205">
        <v>5.3350104639941012E-3</v>
      </c>
      <c r="C178" s="205">
        <v>0.20397167487684728</v>
      </c>
      <c r="D178" s="205">
        <v>0.45710095331214862</v>
      </c>
      <c r="E178" s="205">
        <v>0.32813815121172546</v>
      </c>
      <c r="F178" s="205">
        <v>0.18018433179723503</v>
      </c>
      <c r="G178" s="205">
        <v>4.5725031726096932E-2</v>
      </c>
      <c r="H178" s="205">
        <v>4.3854362508434164E-2</v>
      </c>
      <c r="I178" s="205">
        <v>1.9530765487696666E-2</v>
      </c>
      <c r="J178" s="205"/>
      <c r="K178" s="205">
        <v>0.35461946373889014</v>
      </c>
      <c r="L178" s="205">
        <v>0.12790491396132694</v>
      </c>
      <c r="M178" s="205">
        <v>0.32130439995204413</v>
      </c>
      <c r="N178"/>
      <c r="O178"/>
      <c r="P178"/>
      <c r="Q178"/>
      <c r="R178"/>
      <c r="S178"/>
      <c r="T178"/>
      <c r="U178"/>
      <c r="V178"/>
      <c r="W178"/>
    </row>
    <row r="179" spans="1:23" ht="14" x14ac:dyDescent="0.15">
      <c r="A179" s="204" t="s">
        <v>42</v>
      </c>
      <c r="B179" s="205">
        <v>7.2200100691107143E-3</v>
      </c>
      <c r="C179" s="205">
        <v>0.20597179983411668</v>
      </c>
      <c r="D179" s="205">
        <v>0.5045189797148022</v>
      </c>
      <c r="E179" s="205">
        <v>0.37452845127096934</v>
      </c>
      <c r="F179" s="205">
        <v>0.20057361376673041</v>
      </c>
      <c r="G179" s="205">
        <v>0.17976792544861755</v>
      </c>
      <c r="H179" s="205">
        <v>5.8026532011448598E-2</v>
      </c>
      <c r="I179" s="205">
        <v>7.6260909433726798E-3</v>
      </c>
      <c r="J179" s="205"/>
      <c r="K179" s="205">
        <v>0.38641611593279718</v>
      </c>
      <c r="L179" s="205">
        <v>0.37919999999999998</v>
      </c>
      <c r="M179" s="205">
        <v>0.44425840829096597</v>
      </c>
      <c r="N179"/>
      <c r="O179"/>
      <c r="P179"/>
      <c r="Q179"/>
      <c r="R179"/>
      <c r="S179"/>
      <c r="T179"/>
      <c r="U179"/>
      <c r="V179"/>
      <c r="W179"/>
    </row>
    <row r="180" spans="1:23" ht="14" x14ac:dyDescent="0.15">
      <c r="A180" s="204" t="s">
        <v>43</v>
      </c>
      <c r="B180" s="205">
        <v>1.308025876164072E-2</v>
      </c>
      <c r="C180" s="205">
        <v>0.14301525812317178</v>
      </c>
      <c r="D180" s="205">
        <v>0.46902654867256638</v>
      </c>
      <c r="E180" s="205">
        <v>0.41089104025421636</v>
      </c>
      <c r="F180" s="205">
        <v>0.21420784883720931</v>
      </c>
      <c r="G180" s="205">
        <v>0.1921027354903225</v>
      </c>
      <c r="H180" s="205">
        <v>8.1791067069328469E-2</v>
      </c>
      <c r="I180" s="205">
        <v>2.2872950029919167E-2</v>
      </c>
      <c r="J180" s="205"/>
      <c r="K180" s="205">
        <v>0.38235742604452577</v>
      </c>
      <c r="L180" s="205">
        <v>0.46317441419990257</v>
      </c>
      <c r="M180" s="205">
        <v>0.53636570770725156</v>
      </c>
      <c r="N180"/>
      <c r="O180"/>
      <c r="P180"/>
      <c r="Q180"/>
      <c r="R180"/>
      <c r="S180"/>
      <c r="T180"/>
      <c r="U180"/>
      <c r="V180"/>
      <c r="W180"/>
    </row>
    <row r="181" spans="1:23" ht="14" x14ac:dyDescent="0.15">
      <c r="A181" s="204" t="s">
        <v>45</v>
      </c>
      <c r="B181" s="206">
        <v>9.3063551506343978E-3</v>
      </c>
      <c r="C181" s="206">
        <v>0.15005534433803358</v>
      </c>
      <c r="D181" s="206">
        <v>0.43352601156069365</v>
      </c>
      <c r="E181" s="206">
        <v>0.35548922384829218</v>
      </c>
      <c r="F181" s="206">
        <v>0.19592668024439919</v>
      </c>
      <c r="G181" s="206">
        <v>0.1811757891688387</v>
      </c>
      <c r="H181" s="206">
        <v>7.4258150022375985E-2</v>
      </c>
      <c r="I181" s="206">
        <v>2.2209925097333938E-2</v>
      </c>
      <c r="J181" s="206"/>
      <c r="K181" s="206">
        <v>0.3804569942411295</v>
      </c>
      <c r="L181" s="206">
        <v>0.30471387666139577</v>
      </c>
      <c r="M181" s="206">
        <v>0.66219541877383237</v>
      </c>
      <c r="N181"/>
      <c r="O181"/>
      <c r="P181"/>
      <c r="Q181"/>
      <c r="R181"/>
      <c r="S181"/>
      <c r="T181"/>
      <c r="U181"/>
      <c r="V181"/>
      <c r="W181"/>
    </row>
    <row r="182" spans="1:23" ht="14" x14ac:dyDescent="0.15">
      <c r="A182" s="204" t="s">
        <v>72</v>
      </c>
      <c r="B182" s="206">
        <v>8.9196205948127386E-3</v>
      </c>
      <c r="C182" s="206">
        <v>0.28227502356723311</v>
      </c>
      <c r="D182" s="206">
        <v>0.43611111111111112</v>
      </c>
      <c r="E182" s="206">
        <v>0.36126485905789485</v>
      </c>
      <c r="F182" s="206">
        <v>0.10375166002656043</v>
      </c>
      <c r="G182" s="206">
        <v>0.24775192716871883</v>
      </c>
      <c r="H182" s="206">
        <v>4.9782989069920694E-2</v>
      </c>
      <c r="I182" s="206">
        <v>2.1062864549578744E-2</v>
      </c>
      <c r="J182" s="206"/>
      <c r="K182" s="206">
        <v>0.24058648533786656</v>
      </c>
      <c r="L182" s="206">
        <v>0.31115350981795054</v>
      </c>
      <c r="M182" s="206">
        <v>0.64436276862734343</v>
      </c>
    </row>
    <row r="183" spans="1:23" ht="14" x14ac:dyDescent="0.15">
      <c r="A183" s="204" t="s">
        <v>92</v>
      </c>
      <c r="B183" s="206">
        <v>8.712842290232831E-3</v>
      </c>
      <c r="C183" s="206">
        <v>0.55823526083512509</v>
      </c>
      <c r="D183" s="206">
        <v>0.42523162178543594</v>
      </c>
      <c r="E183" s="206">
        <v>0.38022714452891504</v>
      </c>
      <c r="F183" s="206">
        <v>0.15262592428742969</v>
      </c>
      <c r="G183" s="206">
        <v>0.32284028536173714</v>
      </c>
      <c r="H183" s="206">
        <v>4.4672441541228819E-2</v>
      </c>
      <c r="I183" s="206">
        <v>2.854713716836561E-2</v>
      </c>
      <c r="J183" s="206"/>
      <c r="K183" s="206">
        <v>0.23174839767476524</v>
      </c>
      <c r="L183" s="206">
        <v>0.3167139227455168</v>
      </c>
      <c r="M183" s="206">
        <v>0.55262922038846141</v>
      </c>
    </row>
    <row r="184" spans="1:23" ht="14" x14ac:dyDescent="0.15">
      <c r="A184" s="204" t="s">
        <v>99</v>
      </c>
      <c r="B184" s="206">
        <v>7.1431478692661485E-3</v>
      </c>
      <c r="C184" s="206">
        <v>0.4168061412448924</v>
      </c>
      <c r="D184" s="206">
        <v>0.43991263713937423</v>
      </c>
      <c r="E184" s="206">
        <v>0.39628506200495184</v>
      </c>
      <c r="F184" s="206">
        <v>0.25718252052148721</v>
      </c>
      <c r="G184" s="206">
        <v>0.29646412946384909</v>
      </c>
      <c r="H184" s="206">
        <v>1.7952873706520385E-2</v>
      </c>
      <c r="I184" s="206">
        <v>1.6933669693787727E-2</v>
      </c>
      <c r="J184" s="206"/>
      <c r="K184" s="206">
        <v>0.20900817074234537</v>
      </c>
      <c r="L184" s="206">
        <v>0.31003674616326826</v>
      </c>
      <c r="M184" s="206">
        <v>0.24505321765842303</v>
      </c>
      <c r="O184" s="35"/>
    </row>
    <row r="185" spans="1:23" ht="14" x14ac:dyDescent="0.15">
      <c r="A185" s="295" t="s">
        <v>124</v>
      </c>
      <c r="B185" s="296">
        <v>5.1523253771541206E-3</v>
      </c>
      <c r="C185" s="296">
        <v>0.41821498650968847</v>
      </c>
      <c r="D185" s="296">
        <v>0.40542324923367129</v>
      </c>
      <c r="E185" s="296">
        <v>0.39183681279779559</v>
      </c>
      <c r="F185" s="296">
        <v>0.29913370998116762</v>
      </c>
      <c r="G185" s="296">
        <v>0.27058645650242863</v>
      </c>
      <c r="H185" s="296">
        <v>2.6685601841538575E-2</v>
      </c>
      <c r="I185" s="296">
        <v>1.2598580677588827E-2</v>
      </c>
      <c r="J185" s="296"/>
      <c r="K185" s="296">
        <v>0.20213306246825799</v>
      </c>
      <c r="L185" s="296">
        <v>0.2608115889323272</v>
      </c>
      <c r="M185" s="296">
        <v>0.22780461142034869</v>
      </c>
      <c r="O185" s="35" t="s">
        <v>105</v>
      </c>
    </row>
    <row r="186" spans="1:23" ht="14" x14ac:dyDescent="0.15">
      <c r="A186" s="261" t="s">
        <v>158</v>
      </c>
      <c r="B186"/>
      <c r="C186"/>
      <c r="D186"/>
      <c r="E186"/>
      <c r="F186"/>
      <c r="G186"/>
      <c r="H186"/>
      <c r="I186"/>
    </row>
    <row r="187" spans="1:23" ht="14" x14ac:dyDescent="0.15">
      <c r="A187" s="280" t="s">
        <v>170</v>
      </c>
      <c r="B187"/>
      <c r="C187"/>
      <c r="D187"/>
      <c r="E187"/>
      <c r="F187"/>
      <c r="G187"/>
      <c r="H187"/>
      <c r="I187"/>
    </row>
    <row r="188" spans="1:23" x14ac:dyDescent="0.15">
      <c r="A188" s="34" t="s">
        <v>136</v>
      </c>
      <c r="B188"/>
      <c r="C188"/>
      <c r="D188"/>
      <c r="E188"/>
      <c r="F188"/>
      <c r="G188"/>
      <c r="H188"/>
      <c r="I188"/>
    </row>
    <row r="189" spans="1:23" x14ac:dyDescent="0.15">
      <c r="A189" s="27" t="s">
        <v>16</v>
      </c>
      <c r="B189" s="119" t="s">
        <v>3</v>
      </c>
      <c r="C189" s="119" t="s">
        <v>4</v>
      </c>
      <c r="D189" s="119" t="s">
        <v>5</v>
      </c>
      <c r="E189" s="119" t="s">
        <v>49</v>
      </c>
      <c r="F189" s="119" t="s">
        <v>7</v>
      </c>
      <c r="G189" s="119" t="s">
        <v>50</v>
      </c>
      <c r="H189" s="119" t="s">
        <v>123</v>
      </c>
      <c r="I189" s="119" t="s">
        <v>8</v>
      </c>
      <c r="J189" s="119" t="s">
        <v>17</v>
      </c>
      <c r="K189" s="119" t="s">
        <v>9</v>
      </c>
      <c r="L189" s="119" t="s">
        <v>12</v>
      </c>
      <c r="M189" s="119" t="s">
        <v>10</v>
      </c>
      <c r="O189" s="35" t="s">
        <v>106</v>
      </c>
    </row>
    <row r="190" spans="1:23" x14ac:dyDescent="0.15">
      <c r="A190" s="304">
        <v>43374</v>
      </c>
      <c r="B190" s="303">
        <v>7784</v>
      </c>
      <c r="C190" s="303">
        <v>18061</v>
      </c>
      <c r="D190" s="303">
        <v>2317</v>
      </c>
      <c r="E190" s="303">
        <v>14447</v>
      </c>
      <c r="F190" s="303">
        <v>2399</v>
      </c>
      <c r="G190" s="303">
        <v>19358</v>
      </c>
      <c r="H190" s="303">
        <v>10824</v>
      </c>
      <c r="I190" s="303">
        <v>73081</v>
      </c>
      <c r="J190" s="303"/>
      <c r="K190" s="303">
        <v>4653</v>
      </c>
      <c r="L190" s="303">
        <v>4388</v>
      </c>
      <c r="M190" s="303">
        <v>10733</v>
      </c>
      <c r="O190" s="35"/>
    </row>
    <row r="191" spans="1:23" x14ac:dyDescent="0.15">
      <c r="A191" s="304">
        <v>43405</v>
      </c>
      <c r="B191" s="303">
        <v>6398</v>
      </c>
      <c r="C191" s="303">
        <v>17201</v>
      </c>
      <c r="D191" s="303">
        <v>2303</v>
      </c>
      <c r="E191" s="303">
        <v>14393</v>
      </c>
      <c r="F191" s="303">
        <v>1692</v>
      </c>
      <c r="G191" s="303">
        <v>17595</v>
      </c>
      <c r="H191" s="303">
        <v>14442</v>
      </c>
      <c r="I191" s="303">
        <v>73422</v>
      </c>
      <c r="J191" s="303"/>
      <c r="K191" s="303">
        <v>4445</v>
      </c>
      <c r="L191" s="303">
        <v>3781</v>
      </c>
      <c r="M191" s="303">
        <v>10747</v>
      </c>
    </row>
    <row r="192" spans="1:23" x14ac:dyDescent="0.15">
      <c r="A192" s="304">
        <v>43435</v>
      </c>
      <c r="B192" s="303">
        <v>4685</v>
      </c>
      <c r="C192" s="303">
        <v>15236</v>
      </c>
      <c r="D192" s="303">
        <v>2151</v>
      </c>
      <c r="E192" s="303">
        <v>11570</v>
      </c>
      <c r="F192" s="303">
        <v>1271</v>
      </c>
      <c r="G192" s="303">
        <v>15161</v>
      </c>
      <c r="H192" s="303">
        <v>12233</v>
      </c>
      <c r="I192" s="303">
        <v>68167</v>
      </c>
      <c r="J192" s="303"/>
      <c r="K192" s="303">
        <v>3225</v>
      </c>
      <c r="L192" s="303">
        <v>3031</v>
      </c>
      <c r="M192" s="303">
        <v>8093</v>
      </c>
    </row>
    <row r="193" spans="1:30" x14ac:dyDescent="0.15">
      <c r="A193" s="304">
        <v>43466</v>
      </c>
      <c r="B193" s="303">
        <v>5616</v>
      </c>
      <c r="C193" s="303">
        <v>13103</v>
      </c>
      <c r="D193" s="303">
        <v>1982</v>
      </c>
      <c r="E193" s="303">
        <v>12816</v>
      </c>
      <c r="F193" s="303">
        <v>1483</v>
      </c>
      <c r="G193" s="303">
        <v>16878</v>
      </c>
      <c r="H193" s="303">
        <v>16710</v>
      </c>
      <c r="I193" s="303">
        <v>81329</v>
      </c>
      <c r="J193" s="303"/>
      <c r="K193" s="303">
        <v>4098</v>
      </c>
      <c r="L193" s="303">
        <v>4107</v>
      </c>
      <c r="M193" s="303">
        <v>10274</v>
      </c>
    </row>
    <row r="194" spans="1:30" x14ac:dyDescent="0.15">
      <c r="A194" s="304">
        <v>43497</v>
      </c>
      <c r="B194" s="303">
        <v>5346</v>
      </c>
      <c r="C194" s="303">
        <v>15894</v>
      </c>
      <c r="D194" s="303">
        <v>2086</v>
      </c>
      <c r="E194" s="303">
        <v>12125</v>
      </c>
      <c r="F194" s="303">
        <v>1388</v>
      </c>
      <c r="G194" s="303">
        <v>16106</v>
      </c>
      <c r="H194" s="303">
        <v>14982</v>
      </c>
      <c r="I194" s="303">
        <v>72449</v>
      </c>
      <c r="J194" s="303"/>
      <c r="K194" s="303">
        <v>4157</v>
      </c>
      <c r="L194" s="303">
        <v>3792</v>
      </c>
      <c r="M194" s="303">
        <v>9567</v>
      </c>
    </row>
    <row r="195" spans="1:30" x14ac:dyDescent="0.15">
      <c r="A195" s="304">
        <v>43525</v>
      </c>
      <c r="B195" s="303">
        <v>6714</v>
      </c>
      <c r="C195" s="303">
        <v>19602</v>
      </c>
      <c r="D195" s="303">
        <v>2673</v>
      </c>
      <c r="E195" s="303">
        <v>15683</v>
      </c>
      <c r="F195" s="303">
        <v>1565</v>
      </c>
      <c r="G195" s="303">
        <v>21417</v>
      </c>
      <c r="H195" s="303">
        <v>9322</v>
      </c>
      <c r="I195" s="303">
        <v>79005</v>
      </c>
      <c r="J195" s="303"/>
      <c r="K195" s="303">
        <v>4799</v>
      </c>
      <c r="L195" s="303">
        <v>3883</v>
      </c>
      <c r="M195" s="303">
        <v>11422</v>
      </c>
    </row>
    <row r="196" spans="1:30" x14ac:dyDescent="0.15">
      <c r="A196" s="304">
        <v>43556</v>
      </c>
      <c r="B196" s="303">
        <v>5945</v>
      </c>
      <c r="C196" s="303">
        <v>22014</v>
      </c>
      <c r="D196" s="303">
        <v>2402</v>
      </c>
      <c r="E196" s="303">
        <v>16194</v>
      </c>
      <c r="F196" s="303">
        <v>2143</v>
      </c>
      <c r="G196" s="303">
        <v>21305</v>
      </c>
      <c r="H196" s="303">
        <v>7694</v>
      </c>
      <c r="I196" s="303">
        <v>78740</v>
      </c>
      <c r="J196" s="303"/>
      <c r="K196" s="303">
        <v>4682</v>
      </c>
      <c r="L196" s="303">
        <v>3565</v>
      </c>
      <c r="M196" s="303">
        <v>11705</v>
      </c>
    </row>
    <row r="197" spans="1:30" x14ac:dyDescent="0.15">
      <c r="A197" s="304">
        <v>43586</v>
      </c>
      <c r="B197" s="303">
        <v>6125</v>
      </c>
      <c r="C197" s="303">
        <v>22791</v>
      </c>
      <c r="D197" s="303">
        <v>2376</v>
      </c>
      <c r="E197" s="303">
        <v>14962</v>
      </c>
      <c r="F197" s="303">
        <v>1647</v>
      </c>
      <c r="G197" s="303">
        <v>19312</v>
      </c>
      <c r="H197" s="303">
        <v>8444</v>
      </c>
      <c r="I197" s="303">
        <v>82477</v>
      </c>
      <c r="J197" s="303"/>
      <c r="K197" s="303">
        <v>4624</v>
      </c>
      <c r="L197" s="303">
        <v>4300</v>
      </c>
      <c r="M197" s="303">
        <v>9570</v>
      </c>
    </row>
    <row r="198" spans="1:30" x14ac:dyDescent="0.15">
      <c r="A198" s="304">
        <v>43617</v>
      </c>
      <c r="B198" s="303">
        <v>4779</v>
      </c>
      <c r="C198" s="303">
        <v>19298</v>
      </c>
      <c r="D198" s="303">
        <v>2181</v>
      </c>
      <c r="E198" s="303">
        <v>12182</v>
      </c>
      <c r="F198" s="303">
        <v>1288</v>
      </c>
      <c r="G198" s="303">
        <v>15893</v>
      </c>
      <c r="H198" s="303">
        <v>7267</v>
      </c>
      <c r="I198" s="303">
        <v>85627</v>
      </c>
      <c r="J198" s="303"/>
      <c r="K198" s="303">
        <v>3677</v>
      </c>
      <c r="L198" s="303">
        <v>4146</v>
      </c>
      <c r="M198" s="303">
        <v>7946</v>
      </c>
    </row>
    <row r="199" spans="1:30" x14ac:dyDescent="0.15">
      <c r="A199" s="304">
        <v>43647</v>
      </c>
      <c r="B199" s="303">
        <v>4047</v>
      </c>
      <c r="C199" s="303">
        <v>17945</v>
      </c>
      <c r="D199" s="303">
        <v>2352</v>
      </c>
      <c r="E199" s="303">
        <v>12668</v>
      </c>
      <c r="F199" s="303">
        <v>1346</v>
      </c>
      <c r="G199" s="303">
        <v>16730</v>
      </c>
      <c r="H199" s="303">
        <v>8416</v>
      </c>
      <c r="I199" s="303">
        <v>93831</v>
      </c>
      <c r="J199" s="303"/>
      <c r="K199" s="303">
        <v>3723</v>
      </c>
      <c r="L199" s="303">
        <v>4215</v>
      </c>
      <c r="M199" s="303">
        <v>8477</v>
      </c>
    </row>
    <row r="200" spans="1:30" x14ac:dyDescent="0.15">
      <c r="A200" s="304">
        <v>43678</v>
      </c>
      <c r="B200" s="303">
        <v>3717</v>
      </c>
      <c r="C200" s="303">
        <v>7254</v>
      </c>
      <c r="D200" s="303">
        <v>1876</v>
      </c>
      <c r="E200" s="303">
        <v>11323</v>
      </c>
      <c r="F200" s="303">
        <v>1301</v>
      </c>
      <c r="G200" s="303">
        <v>16951</v>
      </c>
      <c r="H200" s="303">
        <v>23917</v>
      </c>
      <c r="I200" s="303">
        <v>104433</v>
      </c>
      <c r="J200" s="303"/>
      <c r="K200" s="303">
        <v>3679</v>
      </c>
      <c r="L200" s="303">
        <v>4179</v>
      </c>
      <c r="M200" s="303">
        <v>8300</v>
      </c>
    </row>
    <row r="201" spans="1:30" x14ac:dyDescent="0.15">
      <c r="A201" s="304">
        <v>43709</v>
      </c>
      <c r="B201" s="303">
        <v>4798</v>
      </c>
      <c r="C201" s="303">
        <v>8826</v>
      </c>
      <c r="D201" s="303">
        <v>2114</v>
      </c>
      <c r="E201" s="303">
        <v>12581</v>
      </c>
      <c r="F201" s="303">
        <v>1398</v>
      </c>
      <c r="G201" s="303">
        <v>16831</v>
      </c>
      <c r="H201" s="303">
        <v>11260</v>
      </c>
      <c r="I201" s="303">
        <v>93922</v>
      </c>
      <c r="J201" s="303"/>
      <c r="K201" s="303">
        <v>4276</v>
      </c>
      <c r="L201" s="303">
        <v>4353</v>
      </c>
      <c r="M201" s="303">
        <v>10123</v>
      </c>
      <c r="AC201" s="12">
        <v>32997</v>
      </c>
      <c r="AD201" s="12">
        <v>89647</v>
      </c>
    </row>
    <row r="202" spans="1:30" x14ac:dyDescent="0.15">
      <c r="A202" s="159" t="s">
        <v>54</v>
      </c>
      <c r="B202" s="136">
        <f>SUM(B190:B201)</f>
        <v>65954</v>
      </c>
      <c r="C202" s="136">
        <f t="shared" ref="C202:M202" si="130">SUM(C190:C201)</f>
        <v>197225</v>
      </c>
      <c r="D202" s="136">
        <f t="shared" si="130"/>
        <v>26813</v>
      </c>
      <c r="E202" s="136">
        <f t="shared" si="130"/>
        <v>160944</v>
      </c>
      <c r="F202" s="136">
        <f t="shared" si="130"/>
        <v>18921</v>
      </c>
      <c r="G202" s="136">
        <f t="shared" si="130"/>
        <v>213537</v>
      </c>
      <c r="H202" s="136">
        <f t="shared" si="130"/>
        <v>145511</v>
      </c>
      <c r="I202" s="136">
        <f t="shared" si="130"/>
        <v>986483</v>
      </c>
      <c r="J202" s="136">
        <f t="shared" si="130"/>
        <v>0</v>
      </c>
      <c r="K202" s="136">
        <f t="shared" si="130"/>
        <v>50038</v>
      </c>
      <c r="L202" s="136">
        <f t="shared" si="130"/>
        <v>47740</v>
      </c>
      <c r="M202" s="136">
        <f t="shared" si="130"/>
        <v>116957</v>
      </c>
    </row>
    <row r="203" spans="1:30" x14ac:dyDescent="0.15">
      <c r="A203" s="160" t="s">
        <v>29</v>
      </c>
      <c r="B203" s="129">
        <f>AVERAGE(B190:B201)</f>
        <v>5496.166666666667</v>
      </c>
      <c r="C203" s="129">
        <f t="shared" ref="C203:M203" si="131">AVERAGE(C190:C201)</f>
        <v>16435.416666666668</v>
      </c>
      <c r="D203" s="129">
        <f t="shared" si="131"/>
        <v>2234.4166666666665</v>
      </c>
      <c r="E203" s="129">
        <f t="shared" si="131"/>
        <v>13412</v>
      </c>
      <c r="F203" s="129">
        <f t="shared" si="131"/>
        <v>1576.75</v>
      </c>
      <c r="G203" s="129">
        <f t="shared" si="131"/>
        <v>17794.75</v>
      </c>
      <c r="H203" s="129">
        <f t="shared" si="131"/>
        <v>12125.916666666666</v>
      </c>
      <c r="I203" s="129">
        <f t="shared" si="131"/>
        <v>82206.916666666672</v>
      </c>
      <c r="J203" s="129"/>
      <c r="K203" s="129">
        <f t="shared" si="131"/>
        <v>4169.833333333333</v>
      </c>
      <c r="L203" s="129">
        <f t="shared" si="131"/>
        <v>3978.3333333333335</v>
      </c>
      <c r="M203" s="129">
        <f t="shared" si="131"/>
        <v>9746.4166666666661</v>
      </c>
    </row>
    <row r="204" spans="1:30" x14ac:dyDescent="0.15">
      <c r="A204" s="305" t="s">
        <v>125</v>
      </c>
      <c r="B204" s="306">
        <v>51239</v>
      </c>
      <c r="C204" s="306">
        <v>130464</v>
      </c>
      <c r="D204" s="306">
        <v>21205</v>
      </c>
      <c r="E204" s="306">
        <v>104518</v>
      </c>
      <c r="F204" s="306">
        <v>13275</v>
      </c>
      <c r="G204" s="306">
        <v>158733</v>
      </c>
      <c r="H204" s="306">
        <v>107736</v>
      </c>
      <c r="I204" s="306">
        <v>668488</v>
      </c>
      <c r="J204" s="306"/>
      <c r="K204" s="306">
        <v>37411</v>
      </c>
      <c r="L204" s="306">
        <v>32997</v>
      </c>
      <c r="M204" s="306">
        <v>89647</v>
      </c>
      <c r="N204" s="35"/>
      <c r="O204" s="35" t="s">
        <v>108</v>
      </c>
    </row>
    <row r="205" spans="1:30" x14ac:dyDescent="0.15">
      <c r="A205" s="305" t="s">
        <v>101</v>
      </c>
      <c r="B205" s="307">
        <v>49138</v>
      </c>
      <c r="C205" s="307">
        <v>106949</v>
      </c>
      <c r="D205" s="307">
        <v>19688</v>
      </c>
      <c r="E205" s="307">
        <v>93299</v>
      </c>
      <c r="F205" s="307">
        <v>16568</v>
      </c>
      <c r="G205" s="307">
        <v>153371</v>
      </c>
      <c r="H205" s="307">
        <v>136357</v>
      </c>
      <c r="I205" s="307">
        <v>541879</v>
      </c>
      <c r="J205" s="307"/>
      <c r="K205" s="307">
        <v>34391</v>
      </c>
      <c r="L205" s="307">
        <v>27758</v>
      </c>
      <c r="M205" s="307">
        <v>83337</v>
      </c>
      <c r="N205" s="35"/>
      <c r="O205" s="35"/>
    </row>
    <row r="206" spans="1:30" x14ac:dyDescent="0.15">
      <c r="A206" s="36"/>
      <c r="B206" s="21"/>
      <c r="C206" s="21"/>
      <c r="D206" s="21"/>
      <c r="E206" s="21"/>
      <c r="F206" s="21"/>
      <c r="G206" s="8"/>
      <c r="H206" s="8"/>
      <c r="I206" s="8"/>
      <c r="J206" s="8"/>
      <c r="K206" s="8"/>
      <c r="L206" s="8"/>
    </row>
    <row r="207" spans="1:30" x14ac:dyDescent="0.15">
      <c r="A207" s="34" t="s">
        <v>137</v>
      </c>
      <c r="B207"/>
      <c r="C207"/>
      <c r="D207"/>
      <c r="E207"/>
      <c r="F207"/>
      <c r="G207"/>
      <c r="H207"/>
      <c r="I207"/>
    </row>
    <row r="208" spans="1:30" x14ac:dyDescent="0.15">
      <c r="A208" s="27" t="s">
        <v>16</v>
      </c>
      <c r="B208" s="119" t="s">
        <v>3</v>
      </c>
      <c r="C208" s="119" t="s">
        <v>4</v>
      </c>
      <c r="D208" s="119" t="s">
        <v>5</v>
      </c>
      <c r="E208" s="119" t="s">
        <v>49</v>
      </c>
      <c r="F208" s="119" t="s">
        <v>7</v>
      </c>
      <c r="G208" s="119" t="s">
        <v>50</v>
      </c>
      <c r="H208" s="119" t="s">
        <v>123</v>
      </c>
      <c r="I208" s="119" t="s">
        <v>8</v>
      </c>
      <c r="J208" s="119" t="s">
        <v>17</v>
      </c>
      <c r="K208" s="119" t="s">
        <v>9</v>
      </c>
      <c r="L208" s="119" t="s">
        <v>12</v>
      </c>
      <c r="M208" s="119" t="s">
        <v>10</v>
      </c>
      <c r="N208" s="148"/>
    </row>
    <row r="209" spans="1:14" x14ac:dyDescent="0.15">
      <c r="A209" s="122">
        <f t="shared" ref="A209:A220" si="132">A141</f>
        <v>44105</v>
      </c>
      <c r="B209" s="275">
        <v>2450</v>
      </c>
      <c r="C209" s="275">
        <v>20150</v>
      </c>
      <c r="D209" s="275">
        <v>3303</v>
      </c>
      <c r="E209" s="275">
        <v>16454</v>
      </c>
      <c r="F209" s="275">
        <v>1441</v>
      </c>
      <c r="G209" s="275">
        <v>9732</v>
      </c>
      <c r="H209" s="275">
        <v>12553</v>
      </c>
      <c r="I209" s="275">
        <v>24108</v>
      </c>
      <c r="J209" s="275">
        <v>8248</v>
      </c>
      <c r="K209" s="275">
        <v>5421</v>
      </c>
      <c r="L209" s="275">
        <v>3801</v>
      </c>
      <c r="M209" s="275">
        <v>11038</v>
      </c>
      <c r="N209" s="21"/>
    </row>
    <row r="210" spans="1:14" x14ac:dyDescent="0.15">
      <c r="A210" s="122">
        <f t="shared" si="132"/>
        <v>44136</v>
      </c>
      <c r="B210" s="275">
        <v>4503</v>
      </c>
      <c r="C210" s="275">
        <v>25584</v>
      </c>
      <c r="D210" s="275">
        <v>9032</v>
      </c>
      <c r="E210" s="275">
        <v>15500</v>
      </c>
      <c r="F210" s="275">
        <v>1334</v>
      </c>
      <c r="G210" s="275">
        <v>10126</v>
      </c>
      <c r="H210" s="275">
        <v>12664</v>
      </c>
      <c r="I210" s="275">
        <v>40515</v>
      </c>
      <c r="J210" s="275">
        <v>9350</v>
      </c>
      <c r="K210" s="275">
        <v>5179</v>
      </c>
      <c r="L210" s="275">
        <v>4150</v>
      </c>
      <c r="M210" s="275">
        <v>10442</v>
      </c>
      <c r="N210" s="21"/>
    </row>
    <row r="211" spans="1:14" x14ac:dyDescent="0.15">
      <c r="A211" s="122">
        <f t="shared" si="132"/>
        <v>44166</v>
      </c>
      <c r="B211" s="275">
        <v>4695</v>
      </c>
      <c r="C211" s="275">
        <v>23922</v>
      </c>
      <c r="D211" s="275">
        <v>7939</v>
      </c>
      <c r="E211" s="275">
        <v>14450</v>
      </c>
      <c r="F211" s="275">
        <v>1151</v>
      </c>
      <c r="G211" s="275">
        <v>10178</v>
      </c>
      <c r="H211" s="275">
        <v>11361</v>
      </c>
      <c r="I211" s="275">
        <v>40140</v>
      </c>
      <c r="J211" s="275">
        <v>7974</v>
      </c>
      <c r="K211" s="275">
        <v>4587</v>
      </c>
      <c r="L211" s="275">
        <v>3349</v>
      </c>
      <c r="M211" s="275">
        <v>8786</v>
      </c>
      <c r="N211" s="21"/>
    </row>
    <row r="212" spans="1:14" x14ac:dyDescent="0.15">
      <c r="A212" s="122">
        <f t="shared" si="132"/>
        <v>44197</v>
      </c>
      <c r="B212" s="275">
        <v>4648</v>
      </c>
      <c r="C212" s="275">
        <v>26343</v>
      </c>
      <c r="D212" s="275">
        <v>6425</v>
      </c>
      <c r="E212" s="275">
        <v>14521</v>
      </c>
      <c r="F212" s="275">
        <v>1308</v>
      </c>
      <c r="G212" s="275">
        <v>9687</v>
      </c>
      <c r="H212" s="275">
        <v>11486</v>
      </c>
      <c r="I212" s="275">
        <v>41224</v>
      </c>
      <c r="J212" s="275">
        <v>7718</v>
      </c>
      <c r="K212" s="275">
        <v>4853</v>
      </c>
      <c r="L212" s="275">
        <v>3570</v>
      </c>
      <c r="M212" s="275">
        <v>9433</v>
      </c>
      <c r="N212" s="252"/>
    </row>
    <row r="213" spans="1:14" x14ac:dyDescent="0.15">
      <c r="A213" s="122">
        <f t="shared" si="132"/>
        <v>44228</v>
      </c>
      <c r="B213" s="275">
        <v>4133</v>
      </c>
      <c r="C213" s="275">
        <v>23156</v>
      </c>
      <c r="D213" s="275">
        <v>5668</v>
      </c>
      <c r="E213" s="275">
        <v>14051</v>
      </c>
      <c r="F213" s="275">
        <v>1228</v>
      </c>
      <c r="G213" s="275">
        <v>8895</v>
      </c>
      <c r="H213" s="275">
        <v>11702</v>
      </c>
      <c r="I213" s="275">
        <v>44374</v>
      </c>
      <c r="J213" s="275">
        <v>9250</v>
      </c>
      <c r="K213" s="275">
        <v>5065</v>
      </c>
      <c r="L213" s="275">
        <v>3913</v>
      </c>
      <c r="M213" s="275">
        <v>9278</v>
      </c>
      <c r="N213" s="21"/>
    </row>
    <row r="214" spans="1:14" x14ac:dyDescent="0.15">
      <c r="A214" s="122">
        <f t="shared" si="132"/>
        <v>44256</v>
      </c>
      <c r="B214" s="275">
        <v>5058</v>
      </c>
      <c r="C214" s="275">
        <v>32694</v>
      </c>
      <c r="D214" s="275">
        <v>7357</v>
      </c>
      <c r="E214" s="275">
        <v>18293</v>
      </c>
      <c r="F214" s="275">
        <v>1538</v>
      </c>
      <c r="G214" s="275">
        <v>12583</v>
      </c>
      <c r="H214" s="275">
        <v>14924</v>
      </c>
      <c r="I214" s="275">
        <v>40717</v>
      </c>
      <c r="J214" s="275">
        <v>10730</v>
      </c>
      <c r="K214" s="275">
        <v>5920</v>
      </c>
      <c r="L214" s="275">
        <v>3870</v>
      </c>
      <c r="M214" s="275">
        <v>11227</v>
      </c>
      <c r="N214" s="21"/>
    </row>
    <row r="215" spans="1:14" x14ac:dyDescent="0.15">
      <c r="A215" s="122">
        <f t="shared" si="132"/>
        <v>44287</v>
      </c>
      <c r="B215" s="275">
        <v>4745</v>
      </c>
      <c r="C215" s="275">
        <v>30769</v>
      </c>
      <c r="D215" s="275">
        <v>7280</v>
      </c>
      <c r="E215" s="275">
        <v>16621</v>
      </c>
      <c r="F215" s="275">
        <v>1470</v>
      </c>
      <c r="G215" s="275">
        <v>11479</v>
      </c>
      <c r="H215" s="275">
        <v>14113</v>
      </c>
      <c r="I215" s="275">
        <v>35259</v>
      </c>
      <c r="J215" s="275">
        <v>10747</v>
      </c>
      <c r="K215" s="275">
        <v>5304</v>
      </c>
      <c r="L215" s="275">
        <v>3423</v>
      </c>
      <c r="M215" s="275">
        <v>10170</v>
      </c>
      <c r="N215" s="21"/>
    </row>
    <row r="216" spans="1:14" x14ac:dyDescent="0.15">
      <c r="A216" s="122">
        <f t="shared" si="132"/>
        <v>44317</v>
      </c>
      <c r="B216" s="275">
        <v>4220</v>
      </c>
      <c r="C216" s="275">
        <v>29868</v>
      </c>
      <c r="D216" s="275">
        <v>6993</v>
      </c>
      <c r="E216" s="275">
        <v>16342</v>
      </c>
      <c r="F216" s="275">
        <v>1440</v>
      </c>
      <c r="G216" s="275">
        <v>10159</v>
      </c>
      <c r="H216" s="275">
        <v>13067</v>
      </c>
      <c r="I216" s="275">
        <v>31926</v>
      </c>
      <c r="J216" s="275">
        <v>8738</v>
      </c>
      <c r="K216" s="275">
        <v>4754</v>
      </c>
      <c r="L216" s="275">
        <v>3096</v>
      </c>
      <c r="M216" s="275">
        <v>9498</v>
      </c>
      <c r="N216" s="21"/>
    </row>
    <row r="217" spans="1:14" x14ac:dyDescent="0.15">
      <c r="A217" s="122">
        <f t="shared" si="132"/>
        <v>44348</v>
      </c>
      <c r="B217" s="275">
        <v>4044</v>
      </c>
      <c r="C217" s="275">
        <v>29060</v>
      </c>
      <c r="D217" s="275">
        <v>6378</v>
      </c>
      <c r="E217" s="275">
        <v>16772</v>
      </c>
      <c r="F217" s="275">
        <v>1413</v>
      </c>
      <c r="G217" s="275">
        <v>10578</v>
      </c>
      <c r="H217" s="275">
        <v>11868</v>
      </c>
      <c r="I217" s="275">
        <v>26197</v>
      </c>
      <c r="J217" s="275">
        <v>9051</v>
      </c>
      <c r="K217" s="275">
        <v>4682</v>
      </c>
      <c r="L217" s="275">
        <v>3229</v>
      </c>
      <c r="M217" s="275">
        <v>8550</v>
      </c>
      <c r="N217" s="21"/>
    </row>
    <row r="218" spans="1:14" x14ac:dyDescent="0.15">
      <c r="A218" s="122">
        <f t="shared" si="132"/>
        <v>44378</v>
      </c>
      <c r="B218" s="275">
        <v>3928</v>
      </c>
      <c r="C218" s="275">
        <v>28533</v>
      </c>
      <c r="D218" s="275">
        <v>5976</v>
      </c>
      <c r="E218" s="275">
        <v>14816</v>
      </c>
      <c r="F218" s="275">
        <v>1393</v>
      </c>
      <c r="G218" s="275">
        <v>9535</v>
      </c>
      <c r="H218" s="275">
        <v>11161</v>
      </c>
      <c r="I218" s="275">
        <v>28864</v>
      </c>
      <c r="J218" s="275">
        <v>7885</v>
      </c>
      <c r="K218" s="275">
        <v>4271</v>
      </c>
      <c r="L218" s="275">
        <v>2811</v>
      </c>
      <c r="M218" s="275">
        <v>7456</v>
      </c>
      <c r="N218" s="21"/>
    </row>
    <row r="219" spans="1:14" x14ac:dyDescent="0.15">
      <c r="A219" s="122">
        <f t="shared" si="132"/>
        <v>44409</v>
      </c>
      <c r="B219" s="275">
        <v>4087</v>
      </c>
      <c r="C219" s="275">
        <v>28194</v>
      </c>
      <c r="D219" s="275">
        <v>6043</v>
      </c>
      <c r="E219" s="275">
        <v>14883</v>
      </c>
      <c r="F219" s="275">
        <v>1368</v>
      </c>
      <c r="G219" s="275">
        <v>13029</v>
      </c>
      <c r="H219" s="275">
        <v>12207</v>
      </c>
      <c r="I219" s="275">
        <v>39076</v>
      </c>
      <c r="J219" s="275">
        <v>8069</v>
      </c>
      <c r="K219" s="275">
        <v>5028</v>
      </c>
      <c r="L219" s="275">
        <v>13503</v>
      </c>
      <c r="M219" s="275">
        <v>8078</v>
      </c>
      <c r="N219" s="21"/>
    </row>
    <row r="220" spans="1:14" x14ac:dyDescent="0.15">
      <c r="A220" s="122">
        <f t="shared" si="132"/>
        <v>44440</v>
      </c>
      <c r="B220" s="275">
        <v>4584</v>
      </c>
      <c r="C220" s="275">
        <v>28945</v>
      </c>
      <c r="D220" s="275">
        <v>6604</v>
      </c>
      <c r="E220" s="275">
        <v>17857</v>
      </c>
      <c r="F220" s="275">
        <v>1504</v>
      </c>
      <c r="G220" s="275">
        <v>11731</v>
      </c>
      <c r="H220" s="275">
        <v>13834</v>
      </c>
      <c r="I220" s="275">
        <v>55888</v>
      </c>
      <c r="J220" s="275">
        <v>10543</v>
      </c>
      <c r="K220" s="275">
        <v>6179</v>
      </c>
      <c r="L220" s="275">
        <v>5640</v>
      </c>
      <c r="M220" s="275">
        <v>10878</v>
      </c>
      <c r="N220" s="21"/>
    </row>
    <row r="221" spans="1:14" x14ac:dyDescent="0.15">
      <c r="A221" s="159" t="s">
        <v>54</v>
      </c>
      <c r="B221" s="136">
        <f>SUM(B209:B220)</f>
        <v>51095</v>
      </c>
      <c r="C221" s="136">
        <f t="shared" ref="C221:M221" si="133">SUM(C209:C220)</f>
        <v>327218</v>
      </c>
      <c r="D221" s="136">
        <f t="shared" si="133"/>
        <v>78998</v>
      </c>
      <c r="E221" s="136">
        <f t="shared" si="133"/>
        <v>190560</v>
      </c>
      <c r="F221" s="136">
        <f t="shared" si="133"/>
        <v>16588</v>
      </c>
      <c r="G221" s="136">
        <f t="shared" si="133"/>
        <v>127712</v>
      </c>
      <c r="H221" s="136">
        <f t="shared" si="133"/>
        <v>150940</v>
      </c>
      <c r="I221" s="136">
        <f t="shared" si="133"/>
        <v>448288</v>
      </c>
      <c r="J221" s="136">
        <f t="shared" si="133"/>
        <v>108303</v>
      </c>
      <c r="K221" s="136">
        <f t="shared" si="133"/>
        <v>61243</v>
      </c>
      <c r="L221" s="136">
        <f t="shared" si="133"/>
        <v>54355</v>
      </c>
      <c r="M221" s="136">
        <f t="shared" si="133"/>
        <v>114834</v>
      </c>
      <c r="N221" s="21"/>
    </row>
    <row r="222" spans="1:14" x14ac:dyDescent="0.15">
      <c r="A222" s="160" t="s">
        <v>29</v>
      </c>
      <c r="B222" s="129">
        <f>AVERAGE(B209:B220)</f>
        <v>4257.916666666667</v>
      </c>
      <c r="C222" s="129">
        <f t="shared" ref="C222:J222" si="134">AVERAGE(C209:C220)</f>
        <v>27268.166666666668</v>
      </c>
      <c r="D222" s="129">
        <f t="shared" si="134"/>
        <v>6583.166666666667</v>
      </c>
      <c r="E222" s="129">
        <f t="shared" si="134"/>
        <v>15880</v>
      </c>
      <c r="F222" s="129">
        <f t="shared" si="134"/>
        <v>1382.3333333333333</v>
      </c>
      <c r="G222" s="129">
        <f t="shared" si="134"/>
        <v>10642.666666666666</v>
      </c>
      <c r="H222" s="129">
        <f t="shared" si="134"/>
        <v>12578.333333333334</v>
      </c>
      <c r="I222" s="129">
        <f t="shared" si="134"/>
        <v>37357.333333333336</v>
      </c>
      <c r="J222" s="129">
        <f t="shared" si="134"/>
        <v>9025.25</v>
      </c>
      <c r="K222" s="129">
        <f t="shared" ref="K222:M222" si="135">AVERAGE(K209:K220)</f>
        <v>5103.583333333333</v>
      </c>
      <c r="L222" s="129">
        <f t="shared" si="135"/>
        <v>4529.583333333333</v>
      </c>
      <c r="M222" s="129">
        <f t="shared" si="135"/>
        <v>9569.5</v>
      </c>
    </row>
    <row r="223" spans="1:14" x14ac:dyDescent="0.15">
      <c r="A223" s="271" t="s">
        <v>187</v>
      </c>
      <c r="B223" s="275">
        <v>46561</v>
      </c>
      <c r="C223" s="275">
        <v>264171</v>
      </c>
      <c r="D223" s="275">
        <v>57182</v>
      </c>
      <c r="E223" s="275">
        <v>149257</v>
      </c>
      <c r="F223" s="275">
        <v>15085</v>
      </c>
      <c r="G223" s="275">
        <v>124215</v>
      </c>
      <c r="H223" s="275">
        <v>98112</v>
      </c>
      <c r="I223" s="275">
        <v>377853</v>
      </c>
      <c r="J223" s="275">
        <v>87690</v>
      </c>
      <c r="K223" s="275">
        <v>54403</v>
      </c>
      <c r="L223" s="275">
        <v>48161</v>
      </c>
      <c r="M223" s="275">
        <v>106416</v>
      </c>
    </row>
    <row r="224" spans="1:14" x14ac:dyDescent="0.15">
      <c r="A224" s="271" t="s">
        <v>159</v>
      </c>
      <c r="B224" s="275">
        <v>45480</v>
      </c>
      <c r="C224" s="275">
        <v>102102</v>
      </c>
      <c r="D224" s="275">
        <v>24594</v>
      </c>
      <c r="E224" s="275">
        <v>140161</v>
      </c>
      <c r="F224" s="275">
        <v>14343</v>
      </c>
      <c r="G224" s="275">
        <v>122443</v>
      </c>
      <c r="H224" s="275">
        <v>82313</v>
      </c>
      <c r="I224" s="275">
        <v>426051</v>
      </c>
      <c r="J224" s="275">
        <v>64501</v>
      </c>
      <c r="K224" s="275">
        <v>58128</v>
      </c>
      <c r="L224" s="275">
        <v>39977</v>
      </c>
      <c r="M224" s="275">
        <v>107117</v>
      </c>
      <c r="N224" s="21"/>
    </row>
    <row r="225" spans="1:34" x14ac:dyDescent="0.15">
      <c r="B225" s="387" t="s">
        <v>56</v>
      </c>
      <c r="C225" s="388"/>
      <c r="D225" s="388"/>
      <c r="E225" s="388"/>
      <c r="F225" s="388"/>
      <c r="G225" s="388"/>
      <c r="H225" s="388"/>
      <c r="I225" s="388"/>
      <c r="J225" s="388"/>
      <c r="K225" s="388"/>
      <c r="L225" s="388"/>
      <c r="M225" s="388"/>
      <c r="N225" s="21"/>
    </row>
    <row r="226" spans="1:34" ht="28" x14ac:dyDescent="0.15">
      <c r="A226" s="149" t="s">
        <v>16</v>
      </c>
      <c r="B226" s="150" t="s">
        <v>3</v>
      </c>
      <c r="C226" s="150" t="s">
        <v>4</v>
      </c>
      <c r="D226" s="150" t="s">
        <v>5</v>
      </c>
      <c r="E226" s="150" t="s">
        <v>6</v>
      </c>
      <c r="F226" s="150" t="s">
        <v>7</v>
      </c>
      <c r="G226" s="151" t="s">
        <v>14</v>
      </c>
      <c r="H226" s="152" t="s">
        <v>123</v>
      </c>
      <c r="I226" s="151" t="s">
        <v>8</v>
      </c>
      <c r="J226" s="151" t="str">
        <f>J189</f>
        <v>OB.DAAC</v>
      </c>
      <c r="K226" s="151" t="s">
        <v>9</v>
      </c>
      <c r="L226" s="151" t="s">
        <v>12</v>
      </c>
      <c r="M226" s="151" t="s">
        <v>10</v>
      </c>
      <c r="N226" s="21"/>
    </row>
    <row r="227" spans="1:34" x14ac:dyDescent="0.15">
      <c r="A227" s="153">
        <f t="shared" ref="A227:A238" si="136">A141</f>
        <v>44105</v>
      </c>
      <c r="B227" s="154">
        <f t="shared" ref="B227:I238" si="137">B190-B$203</f>
        <v>2287.833333333333</v>
      </c>
      <c r="C227" s="154">
        <f t="shared" si="137"/>
        <v>1625.5833333333321</v>
      </c>
      <c r="D227" s="154">
        <f t="shared" si="137"/>
        <v>82.583333333333485</v>
      </c>
      <c r="E227" s="154">
        <f t="shared" si="137"/>
        <v>1035</v>
      </c>
      <c r="F227" s="154">
        <f t="shared" si="137"/>
        <v>822.25</v>
      </c>
      <c r="G227" s="154">
        <f t="shared" si="137"/>
        <v>1563.25</v>
      </c>
      <c r="H227" s="154">
        <f t="shared" si="137"/>
        <v>-1301.9166666666661</v>
      </c>
      <c r="I227" s="154">
        <f t="shared" si="137"/>
        <v>-9125.9166666666715</v>
      </c>
      <c r="J227" s="154"/>
      <c r="K227" s="154">
        <f t="shared" ref="K227:M238" si="138">K190-K$203</f>
        <v>483.16666666666697</v>
      </c>
      <c r="L227" s="154">
        <f t="shared" si="138"/>
        <v>409.66666666666652</v>
      </c>
      <c r="M227" s="154">
        <f t="shared" si="138"/>
        <v>986.58333333333394</v>
      </c>
      <c r="N227" s="21"/>
    </row>
    <row r="228" spans="1:34" x14ac:dyDescent="0.15">
      <c r="A228" s="153">
        <f t="shared" si="136"/>
        <v>44136</v>
      </c>
      <c r="B228" s="154">
        <f t="shared" si="137"/>
        <v>901.83333333333303</v>
      </c>
      <c r="C228" s="154">
        <f t="shared" si="137"/>
        <v>765.58333333333212</v>
      </c>
      <c r="D228" s="154">
        <f t="shared" si="137"/>
        <v>68.583333333333485</v>
      </c>
      <c r="E228" s="154">
        <f t="shared" si="137"/>
        <v>981</v>
      </c>
      <c r="F228" s="154">
        <f t="shared" si="137"/>
        <v>115.25</v>
      </c>
      <c r="G228" s="154">
        <f t="shared" si="137"/>
        <v>-199.75</v>
      </c>
      <c r="H228" s="154">
        <f t="shared" si="137"/>
        <v>2316.0833333333339</v>
      </c>
      <c r="I228" s="154">
        <f t="shared" si="137"/>
        <v>-8784.9166666666715</v>
      </c>
      <c r="J228" s="154"/>
      <c r="K228" s="154">
        <f t="shared" si="138"/>
        <v>275.16666666666697</v>
      </c>
      <c r="L228" s="154">
        <f t="shared" si="138"/>
        <v>-197.33333333333348</v>
      </c>
      <c r="M228" s="154">
        <f t="shared" si="138"/>
        <v>1000.5833333333339</v>
      </c>
      <c r="N228" s="21"/>
    </row>
    <row r="229" spans="1:34" x14ac:dyDescent="0.15">
      <c r="A229" s="153">
        <f t="shared" si="136"/>
        <v>44166</v>
      </c>
      <c r="B229" s="154">
        <f t="shared" si="137"/>
        <v>-811.16666666666697</v>
      </c>
      <c r="C229" s="154">
        <f t="shared" si="137"/>
        <v>-1199.4166666666679</v>
      </c>
      <c r="D229" s="154">
        <f t="shared" si="137"/>
        <v>-83.416666666666515</v>
      </c>
      <c r="E229" s="154">
        <f t="shared" si="137"/>
        <v>-1842</v>
      </c>
      <c r="F229" s="154">
        <f t="shared" si="137"/>
        <v>-305.75</v>
      </c>
      <c r="G229" s="154">
        <f t="shared" si="137"/>
        <v>-2633.75</v>
      </c>
      <c r="H229" s="154">
        <f t="shared" si="137"/>
        <v>107.08333333333394</v>
      </c>
      <c r="I229" s="154">
        <f t="shared" si="137"/>
        <v>-14039.916666666672</v>
      </c>
      <c r="J229" s="154"/>
      <c r="K229" s="154">
        <f t="shared" si="138"/>
        <v>-944.83333333333303</v>
      </c>
      <c r="L229" s="154">
        <f t="shared" si="138"/>
        <v>-947.33333333333348</v>
      </c>
      <c r="M229" s="154">
        <f t="shared" si="138"/>
        <v>-1653.4166666666661</v>
      </c>
      <c r="N229" s="21"/>
    </row>
    <row r="230" spans="1:34" x14ac:dyDescent="0.15">
      <c r="A230" s="153">
        <f t="shared" si="136"/>
        <v>44197</v>
      </c>
      <c r="B230" s="154">
        <f t="shared" si="137"/>
        <v>119.83333333333303</v>
      </c>
      <c r="C230" s="154">
        <f t="shared" si="137"/>
        <v>-3332.4166666666679</v>
      </c>
      <c r="D230" s="154">
        <f t="shared" si="137"/>
        <v>-252.41666666666652</v>
      </c>
      <c r="E230" s="154">
        <f t="shared" si="137"/>
        <v>-596</v>
      </c>
      <c r="F230" s="154">
        <f t="shared" si="137"/>
        <v>-93.75</v>
      </c>
      <c r="G230" s="154">
        <f t="shared" si="137"/>
        <v>-916.75</v>
      </c>
      <c r="H230" s="154">
        <f t="shared" si="137"/>
        <v>4584.0833333333339</v>
      </c>
      <c r="I230" s="154">
        <f t="shared" si="137"/>
        <v>-877.91666666667152</v>
      </c>
      <c r="J230" s="154"/>
      <c r="K230" s="154">
        <f t="shared" si="138"/>
        <v>-71.83333333333303</v>
      </c>
      <c r="L230" s="154">
        <f t="shared" si="138"/>
        <v>128.66666666666652</v>
      </c>
      <c r="M230" s="154">
        <f t="shared" si="138"/>
        <v>527.58333333333394</v>
      </c>
      <c r="N230" s="21"/>
    </row>
    <row r="231" spans="1:34" x14ac:dyDescent="0.15">
      <c r="A231" s="153">
        <f t="shared" si="136"/>
        <v>44228</v>
      </c>
      <c r="B231" s="154">
        <f t="shared" si="137"/>
        <v>-150.16666666666697</v>
      </c>
      <c r="C231" s="154">
        <f t="shared" si="137"/>
        <v>-541.41666666666788</v>
      </c>
      <c r="D231" s="154">
        <f t="shared" si="137"/>
        <v>-148.41666666666652</v>
      </c>
      <c r="E231" s="154">
        <f t="shared" si="137"/>
        <v>-1287</v>
      </c>
      <c r="F231" s="154">
        <f t="shared" si="137"/>
        <v>-188.75</v>
      </c>
      <c r="G231" s="154">
        <f t="shared" si="137"/>
        <v>-1688.75</v>
      </c>
      <c r="H231" s="154">
        <f t="shared" si="137"/>
        <v>2856.0833333333339</v>
      </c>
      <c r="I231" s="154">
        <f t="shared" si="137"/>
        <v>-9757.9166666666715</v>
      </c>
      <c r="J231" s="154"/>
      <c r="K231" s="154">
        <f t="shared" si="138"/>
        <v>-12.83333333333303</v>
      </c>
      <c r="L231" s="154">
        <f t="shared" si="138"/>
        <v>-186.33333333333348</v>
      </c>
      <c r="M231" s="154">
        <f t="shared" si="138"/>
        <v>-179.41666666666606</v>
      </c>
      <c r="N231" s="21"/>
    </row>
    <row r="232" spans="1:34" x14ac:dyDescent="0.15">
      <c r="A232" s="153">
        <f t="shared" si="136"/>
        <v>44256</v>
      </c>
      <c r="B232" s="154">
        <f t="shared" si="137"/>
        <v>1217.833333333333</v>
      </c>
      <c r="C232" s="154">
        <f t="shared" si="137"/>
        <v>3166.5833333333321</v>
      </c>
      <c r="D232" s="154">
        <f t="shared" si="137"/>
        <v>438.58333333333348</v>
      </c>
      <c r="E232" s="154">
        <f t="shared" si="137"/>
        <v>2271</v>
      </c>
      <c r="F232" s="154">
        <f t="shared" si="137"/>
        <v>-11.75</v>
      </c>
      <c r="G232" s="154">
        <f t="shared" si="137"/>
        <v>3622.25</v>
      </c>
      <c r="H232" s="154">
        <f t="shared" si="137"/>
        <v>-2803.9166666666661</v>
      </c>
      <c r="I232" s="154">
        <f t="shared" si="137"/>
        <v>-3201.9166666666715</v>
      </c>
      <c r="J232" s="154"/>
      <c r="K232" s="154">
        <f t="shared" si="138"/>
        <v>629.16666666666697</v>
      </c>
      <c r="L232" s="154">
        <f t="shared" si="138"/>
        <v>-95.333333333333485</v>
      </c>
      <c r="M232" s="154">
        <f t="shared" si="138"/>
        <v>1675.5833333333339</v>
      </c>
      <c r="N232" s="21"/>
    </row>
    <row r="233" spans="1:34" x14ac:dyDescent="0.15">
      <c r="A233" s="153">
        <f t="shared" si="136"/>
        <v>44287</v>
      </c>
      <c r="B233" s="154">
        <f t="shared" si="137"/>
        <v>448.83333333333303</v>
      </c>
      <c r="C233" s="154">
        <f t="shared" si="137"/>
        <v>5578.5833333333321</v>
      </c>
      <c r="D233" s="154">
        <f t="shared" si="137"/>
        <v>167.58333333333348</v>
      </c>
      <c r="E233" s="154">
        <f t="shared" si="137"/>
        <v>2782</v>
      </c>
      <c r="F233" s="154">
        <f t="shared" si="137"/>
        <v>566.25</v>
      </c>
      <c r="G233" s="154">
        <f t="shared" si="137"/>
        <v>3510.25</v>
      </c>
      <c r="H233" s="154">
        <f t="shared" si="137"/>
        <v>-4431.9166666666661</v>
      </c>
      <c r="I233" s="154">
        <f t="shared" si="137"/>
        <v>-3466.9166666666715</v>
      </c>
      <c r="J233" s="154"/>
      <c r="K233" s="154">
        <f t="shared" si="138"/>
        <v>512.16666666666697</v>
      </c>
      <c r="L233" s="154">
        <f t="shared" si="138"/>
        <v>-413.33333333333348</v>
      </c>
      <c r="M233" s="154">
        <f t="shared" si="138"/>
        <v>1958.5833333333339</v>
      </c>
      <c r="N233" s="21"/>
    </row>
    <row r="234" spans="1:34" x14ac:dyDescent="0.15">
      <c r="A234" s="153">
        <f t="shared" si="136"/>
        <v>44317</v>
      </c>
      <c r="B234" s="154">
        <f t="shared" si="137"/>
        <v>628.83333333333303</v>
      </c>
      <c r="C234" s="154">
        <f t="shared" si="137"/>
        <v>6355.5833333333321</v>
      </c>
      <c r="D234" s="154">
        <f t="shared" si="137"/>
        <v>141.58333333333348</v>
      </c>
      <c r="E234" s="154">
        <f t="shared" si="137"/>
        <v>1550</v>
      </c>
      <c r="F234" s="154">
        <f t="shared" si="137"/>
        <v>70.25</v>
      </c>
      <c r="G234" s="154">
        <f t="shared" si="137"/>
        <v>1517.25</v>
      </c>
      <c r="H234" s="154">
        <f t="shared" si="137"/>
        <v>-3681.9166666666661</v>
      </c>
      <c r="I234" s="154">
        <f t="shared" si="137"/>
        <v>270.08333333332848</v>
      </c>
      <c r="J234" s="154"/>
      <c r="K234" s="154">
        <f t="shared" si="138"/>
        <v>454.16666666666697</v>
      </c>
      <c r="L234" s="154">
        <f t="shared" si="138"/>
        <v>321.66666666666652</v>
      </c>
      <c r="M234" s="154">
        <f t="shared" si="138"/>
        <v>-176.41666666666606</v>
      </c>
      <c r="N234" s="21"/>
    </row>
    <row r="235" spans="1:34" x14ac:dyDescent="0.15">
      <c r="A235" s="153">
        <f t="shared" si="136"/>
        <v>44348</v>
      </c>
      <c r="B235" s="154">
        <f t="shared" si="137"/>
        <v>-717.16666666666697</v>
      </c>
      <c r="C235" s="154">
        <f t="shared" si="137"/>
        <v>2862.5833333333321</v>
      </c>
      <c r="D235" s="154">
        <f t="shared" si="137"/>
        <v>-53.416666666666515</v>
      </c>
      <c r="E235" s="154">
        <f t="shared" si="137"/>
        <v>-1230</v>
      </c>
      <c r="F235" s="154">
        <f t="shared" si="137"/>
        <v>-288.75</v>
      </c>
      <c r="G235" s="154">
        <f t="shared" si="137"/>
        <v>-1901.75</v>
      </c>
      <c r="H235" s="154">
        <f t="shared" si="137"/>
        <v>-4858.9166666666661</v>
      </c>
      <c r="I235" s="154">
        <f t="shared" si="137"/>
        <v>3420.0833333333285</v>
      </c>
      <c r="J235" s="154"/>
      <c r="K235" s="154">
        <f t="shared" si="138"/>
        <v>-492.83333333333303</v>
      </c>
      <c r="L235" s="154">
        <f t="shared" si="138"/>
        <v>167.66666666666652</v>
      </c>
      <c r="M235" s="154">
        <f t="shared" si="138"/>
        <v>-1800.4166666666661</v>
      </c>
      <c r="N235" s="21"/>
    </row>
    <row r="236" spans="1:34" x14ac:dyDescent="0.15">
      <c r="A236" s="153">
        <f t="shared" si="136"/>
        <v>44378</v>
      </c>
      <c r="B236" s="154">
        <f t="shared" si="137"/>
        <v>-1449.166666666667</v>
      </c>
      <c r="C236" s="154">
        <f t="shared" si="137"/>
        <v>1509.5833333333321</v>
      </c>
      <c r="D236" s="154">
        <f t="shared" si="137"/>
        <v>117.58333333333348</v>
      </c>
      <c r="E236" s="154">
        <f t="shared" si="137"/>
        <v>-744</v>
      </c>
      <c r="F236" s="154">
        <f t="shared" si="137"/>
        <v>-230.75</v>
      </c>
      <c r="G236" s="154">
        <f t="shared" si="137"/>
        <v>-1064.75</v>
      </c>
      <c r="H236" s="154">
        <f t="shared" si="137"/>
        <v>-3709.9166666666661</v>
      </c>
      <c r="I236" s="154">
        <f t="shared" si="137"/>
        <v>11624.083333333328</v>
      </c>
      <c r="J236" s="154"/>
      <c r="K236" s="154">
        <f t="shared" si="138"/>
        <v>-446.83333333333303</v>
      </c>
      <c r="L236" s="154">
        <f t="shared" si="138"/>
        <v>236.66666666666652</v>
      </c>
      <c r="M236" s="154">
        <f t="shared" si="138"/>
        <v>-1269.4166666666661</v>
      </c>
      <c r="N236" s="21"/>
    </row>
    <row r="237" spans="1:34" x14ac:dyDescent="0.15">
      <c r="A237" s="153">
        <f t="shared" si="136"/>
        <v>44409</v>
      </c>
      <c r="B237" s="154">
        <f t="shared" si="137"/>
        <v>-1779.166666666667</v>
      </c>
      <c r="C237" s="154">
        <f t="shared" si="137"/>
        <v>-9181.4166666666679</v>
      </c>
      <c r="D237" s="154">
        <f t="shared" si="137"/>
        <v>-358.41666666666652</v>
      </c>
      <c r="E237" s="154">
        <f t="shared" si="137"/>
        <v>-2089</v>
      </c>
      <c r="F237" s="154">
        <f t="shared" si="137"/>
        <v>-275.75</v>
      </c>
      <c r="G237" s="154">
        <f t="shared" si="137"/>
        <v>-843.75</v>
      </c>
      <c r="H237" s="154">
        <f t="shared" si="137"/>
        <v>11791.083333333334</v>
      </c>
      <c r="I237" s="154">
        <f t="shared" si="137"/>
        <v>22226.083333333328</v>
      </c>
      <c r="J237" s="154"/>
      <c r="K237" s="154">
        <f t="shared" si="138"/>
        <v>-490.83333333333303</v>
      </c>
      <c r="L237" s="154">
        <f t="shared" si="138"/>
        <v>200.66666666666652</v>
      </c>
      <c r="M237" s="154">
        <f t="shared" si="138"/>
        <v>-1446.4166666666661</v>
      </c>
    </row>
    <row r="238" spans="1:34" x14ac:dyDescent="0.15">
      <c r="A238" s="153">
        <f t="shared" si="136"/>
        <v>44440</v>
      </c>
      <c r="B238" s="154">
        <f t="shared" si="137"/>
        <v>-698.16666666666697</v>
      </c>
      <c r="C238" s="154">
        <f t="shared" si="137"/>
        <v>-7609.4166666666679</v>
      </c>
      <c r="D238" s="154">
        <f t="shared" si="137"/>
        <v>-120.41666666666652</v>
      </c>
      <c r="E238" s="154">
        <f t="shared" si="137"/>
        <v>-831</v>
      </c>
      <c r="F238" s="154">
        <f t="shared" si="137"/>
        <v>-178.75</v>
      </c>
      <c r="G238" s="154">
        <f t="shared" si="137"/>
        <v>-963.75</v>
      </c>
      <c r="H238" s="154">
        <f t="shared" si="137"/>
        <v>-865.91666666666606</v>
      </c>
      <c r="I238" s="154">
        <f t="shared" si="137"/>
        <v>11715.083333333328</v>
      </c>
      <c r="J238" s="154"/>
      <c r="K238" s="154">
        <f t="shared" si="138"/>
        <v>106.16666666666697</v>
      </c>
      <c r="L238" s="154">
        <f t="shared" si="138"/>
        <v>374.66666666666652</v>
      </c>
      <c r="M238" s="154">
        <f t="shared" si="138"/>
        <v>376.58333333333394</v>
      </c>
    </row>
    <row r="239" spans="1:34" x14ac:dyDescent="0.15">
      <c r="A239" s="120" t="s">
        <v>11</v>
      </c>
      <c r="B239" s="21">
        <f>SUM(B227:B238)</f>
        <v>-3.637978807091713E-12</v>
      </c>
      <c r="C239" s="21">
        <f t="shared" ref="C239:M239" si="139">SUM(C227:C238)</f>
        <v>-1.4551915228366852E-11</v>
      </c>
      <c r="D239" s="21">
        <f t="shared" si="139"/>
        <v>1.8189894035458565E-12</v>
      </c>
      <c r="E239" s="21">
        <f t="shared" si="139"/>
        <v>0</v>
      </c>
      <c r="F239" s="21">
        <f t="shared" si="139"/>
        <v>0</v>
      </c>
      <c r="G239" s="21">
        <f t="shared" si="139"/>
        <v>0</v>
      </c>
      <c r="H239" s="21">
        <f t="shared" si="139"/>
        <v>7.2759576141834259E-12</v>
      </c>
      <c r="I239" s="21">
        <f t="shared" si="139"/>
        <v>-5.8207660913467407E-11</v>
      </c>
      <c r="J239" s="21"/>
      <c r="K239" s="21">
        <f t="shared" si="139"/>
        <v>3.637978807091713E-12</v>
      </c>
      <c r="L239" s="21">
        <f t="shared" si="139"/>
        <v>-1.8189894035458565E-12</v>
      </c>
      <c r="M239" s="21">
        <f t="shared" si="139"/>
        <v>7.2759576141834259E-12</v>
      </c>
    </row>
    <row r="240" spans="1:34" x14ac:dyDescent="0.15"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400" t="s">
        <v>7</v>
      </c>
      <c r="O240" s="401"/>
      <c r="P240" s="402"/>
      <c r="Q240" s="400" t="s">
        <v>50</v>
      </c>
      <c r="R240" s="401"/>
      <c r="S240" s="402"/>
      <c r="T240" s="400" t="s">
        <v>123</v>
      </c>
      <c r="U240" s="401"/>
      <c r="V240" s="402"/>
      <c r="W240" s="400" t="s">
        <v>8</v>
      </c>
      <c r="X240" s="401"/>
      <c r="Y240" s="402"/>
      <c r="Z240" s="400" t="s">
        <v>9</v>
      </c>
      <c r="AA240" s="401"/>
      <c r="AB240" s="402"/>
      <c r="AC240" s="400" t="s">
        <v>12</v>
      </c>
      <c r="AD240" s="401"/>
      <c r="AE240" s="402"/>
      <c r="AF240" s="400" t="s">
        <v>10</v>
      </c>
      <c r="AG240" s="401"/>
      <c r="AH240" s="402"/>
    </row>
    <row r="241" spans="1:35" x14ac:dyDescent="0.15">
      <c r="B241" s="391" t="s">
        <v>57</v>
      </c>
      <c r="C241" s="392"/>
      <c r="D241" s="392"/>
      <c r="E241" s="392"/>
      <c r="F241" s="392"/>
      <c r="G241" s="392"/>
      <c r="H241" s="392"/>
      <c r="I241" s="392"/>
      <c r="J241" s="392"/>
      <c r="K241" s="392"/>
      <c r="L241" s="392"/>
      <c r="M241" s="392"/>
      <c r="N241" s="308" t="s">
        <v>52</v>
      </c>
      <c r="O241" s="308" t="s">
        <v>53</v>
      </c>
      <c r="P241" s="308" t="s">
        <v>51</v>
      </c>
      <c r="Q241" s="308" t="s">
        <v>52</v>
      </c>
      <c r="R241" s="308" t="s">
        <v>53</v>
      </c>
      <c r="S241" s="308" t="s">
        <v>51</v>
      </c>
      <c r="T241" s="308" t="s">
        <v>52</v>
      </c>
      <c r="U241" s="308" t="s">
        <v>53</v>
      </c>
      <c r="V241" s="308" t="s">
        <v>51</v>
      </c>
      <c r="W241" s="308" t="s">
        <v>52</v>
      </c>
      <c r="X241" s="308" t="s">
        <v>53</v>
      </c>
      <c r="Y241" s="308" t="s">
        <v>51</v>
      </c>
      <c r="Z241" s="308" t="s">
        <v>52</v>
      </c>
      <c r="AA241" s="308" t="s">
        <v>53</v>
      </c>
      <c r="AB241" s="308" t="s">
        <v>51</v>
      </c>
      <c r="AC241" s="308" t="s">
        <v>52</v>
      </c>
      <c r="AD241" s="308" t="s">
        <v>53</v>
      </c>
      <c r="AE241" s="308" t="s">
        <v>51</v>
      </c>
      <c r="AF241" s="308" t="s">
        <v>52</v>
      </c>
      <c r="AG241" s="308" t="s">
        <v>53</v>
      </c>
      <c r="AH241" s="308" t="s">
        <v>51</v>
      </c>
      <c r="AI241" s="35" t="s">
        <v>192</v>
      </c>
    </row>
    <row r="242" spans="1:35" ht="28" x14ac:dyDescent="0.15">
      <c r="A242" s="155" t="s">
        <v>16</v>
      </c>
      <c r="B242" s="156" t="s">
        <v>3</v>
      </c>
      <c r="C242" s="156" t="s">
        <v>4</v>
      </c>
      <c r="D242" s="156" t="s">
        <v>5</v>
      </c>
      <c r="E242" s="156" t="s">
        <v>6</v>
      </c>
      <c r="F242" s="156" t="s">
        <v>7</v>
      </c>
      <c r="G242" s="156" t="s">
        <v>14</v>
      </c>
      <c r="H242" s="157" t="s">
        <v>123</v>
      </c>
      <c r="I242" s="156" t="s">
        <v>8</v>
      </c>
      <c r="J242" s="158" t="s">
        <v>17</v>
      </c>
      <c r="K242" s="156" t="s">
        <v>9</v>
      </c>
      <c r="L242" s="156" t="s">
        <v>12</v>
      </c>
      <c r="M242" s="156" t="s">
        <v>10</v>
      </c>
      <c r="N242" s="309"/>
      <c r="O242" s="309"/>
      <c r="P242" s="309"/>
      <c r="Q242" s="309">
        <v>74193</v>
      </c>
      <c r="R242" s="309">
        <v>735937</v>
      </c>
      <c r="S242" s="309">
        <v>41991</v>
      </c>
      <c r="T242" s="309">
        <v>53574</v>
      </c>
      <c r="U242" s="309">
        <v>979938</v>
      </c>
      <c r="V242" s="309">
        <v>17740</v>
      </c>
      <c r="W242" s="309">
        <v>257646</v>
      </c>
      <c r="X242" s="309">
        <v>2285747</v>
      </c>
      <c r="Y242" s="309">
        <v>187325</v>
      </c>
      <c r="Z242" s="309">
        <v>11242</v>
      </c>
      <c r="AA242" s="309">
        <v>117277</v>
      </c>
      <c r="AB242" s="309">
        <v>7857</v>
      </c>
      <c r="AC242" s="309">
        <v>43722</v>
      </c>
      <c r="AD242" s="309">
        <v>479754</v>
      </c>
      <c r="AE242" s="309">
        <v>24748</v>
      </c>
      <c r="AF242" s="309"/>
      <c r="AG242" s="309"/>
      <c r="AH242" s="309"/>
    </row>
    <row r="243" spans="1:35" x14ac:dyDescent="0.15">
      <c r="A243" s="153">
        <f>A227</f>
        <v>44105</v>
      </c>
      <c r="B243" s="154"/>
      <c r="C243" s="154"/>
      <c r="D243" s="154"/>
      <c r="E243" s="154"/>
      <c r="F243" s="154"/>
      <c r="G243" s="154"/>
      <c r="H243" s="154"/>
      <c r="I243" s="154"/>
      <c r="J243" s="154"/>
      <c r="K243" s="154"/>
      <c r="L243" s="154"/>
      <c r="M243" s="154"/>
      <c r="N243" s="309"/>
      <c r="O243" s="309"/>
      <c r="P243" s="309"/>
      <c r="Q243" s="309">
        <v>78161</v>
      </c>
      <c r="R243" s="309">
        <v>757185</v>
      </c>
      <c r="S243" s="309">
        <v>44726</v>
      </c>
      <c r="T243" s="309">
        <v>64290</v>
      </c>
      <c r="U243" s="309">
        <v>1137682</v>
      </c>
      <c r="V243" s="309">
        <v>22482</v>
      </c>
      <c r="W243" s="309">
        <v>347349</v>
      </c>
      <c r="X243" s="309">
        <v>2710866</v>
      </c>
      <c r="Y243" s="309">
        <v>244569</v>
      </c>
      <c r="Z243" s="309">
        <v>16433</v>
      </c>
      <c r="AA243" s="309">
        <v>152974</v>
      </c>
      <c r="AB243" s="309">
        <v>11683</v>
      </c>
      <c r="AC243" s="309">
        <v>24190</v>
      </c>
      <c r="AD243" s="309">
        <v>168092</v>
      </c>
      <c r="AE243" s="309">
        <v>16844</v>
      </c>
      <c r="AF243" s="309"/>
      <c r="AG243" s="309"/>
      <c r="AH243" s="309"/>
    </row>
    <row r="244" spans="1:35" x14ac:dyDescent="0.15">
      <c r="A244" s="153">
        <f t="shared" ref="A244:A254" si="140">A228</f>
        <v>44136</v>
      </c>
      <c r="B244" s="154">
        <f t="shared" ref="B244:I254" si="141">B191-B190</f>
        <v>-1386</v>
      </c>
      <c r="C244" s="154">
        <f t="shared" si="141"/>
        <v>-860</v>
      </c>
      <c r="D244" s="154">
        <f t="shared" si="141"/>
        <v>-14</v>
      </c>
      <c r="E244" s="154">
        <f t="shared" si="141"/>
        <v>-54</v>
      </c>
      <c r="F244" s="154">
        <f t="shared" si="141"/>
        <v>-707</v>
      </c>
      <c r="G244" s="154">
        <f t="shared" si="141"/>
        <v>-1763</v>
      </c>
      <c r="H244" s="154">
        <f t="shared" si="141"/>
        <v>3618</v>
      </c>
      <c r="I244" s="154">
        <f t="shared" si="141"/>
        <v>341</v>
      </c>
      <c r="J244" s="154"/>
      <c r="K244" s="154">
        <f t="shared" ref="K244:M254" si="142">K191-K190</f>
        <v>-208</v>
      </c>
      <c r="L244" s="154">
        <f t="shared" si="142"/>
        <v>-607</v>
      </c>
      <c r="M244" s="154">
        <f t="shared" si="142"/>
        <v>14</v>
      </c>
      <c r="N244" s="309">
        <v>3563</v>
      </c>
      <c r="O244" s="309">
        <v>25293</v>
      </c>
      <c r="P244" s="309">
        <v>2011</v>
      </c>
      <c r="Q244" s="309">
        <v>53247</v>
      </c>
      <c r="R244" s="309">
        <v>377739</v>
      </c>
      <c r="S244" s="309">
        <v>34902</v>
      </c>
      <c r="T244" s="309">
        <v>74206</v>
      </c>
      <c r="U244" s="309">
        <v>1298537</v>
      </c>
      <c r="V244" s="309">
        <v>29103</v>
      </c>
      <c r="W244" s="309">
        <v>440891</v>
      </c>
      <c r="X244" s="309">
        <v>3202873</v>
      </c>
      <c r="Y244" s="309">
        <v>289997</v>
      </c>
      <c r="Z244" s="309">
        <v>19070</v>
      </c>
      <c r="AA244" s="309">
        <v>161490</v>
      </c>
      <c r="AB244" s="309">
        <v>13974</v>
      </c>
      <c r="AC244" s="309">
        <v>19878</v>
      </c>
      <c r="AD244" s="309">
        <v>111178</v>
      </c>
      <c r="AE244" s="309">
        <v>14634</v>
      </c>
      <c r="AF244" s="309">
        <v>155635</v>
      </c>
      <c r="AG244" s="309">
        <v>921255</v>
      </c>
      <c r="AH244" s="309">
        <v>123204</v>
      </c>
    </row>
    <row r="245" spans="1:35" x14ac:dyDescent="0.15">
      <c r="A245" s="153">
        <f t="shared" si="140"/>
        <v>44166</v>
      </c>
      <c r="B245" s="154">
        <f t="shared" si="141"/>
        <v>-1713</v>
      </c>
      <c r="C245" s="154">
        <f t="shared" si="141"/>
        <v>-1965</v>
      </c>
      <c r="D245" s="154">
        <f t="shared" si="141"/>
        <v>-152</v>
      </c>
      <c r="E245" s="154">
        <f t="shared" si="141"/>
        <v>-2823</v>
      </c>
      <c r="F245" s="154">
        <f t="shared" si="141"/>
        <v>-421</v>
      </c>
      <c r="G245" s="154">
        <f t="shared" si="141"/>
        <v>-2434</v>
      </c>
      <c r="H245" s="154">
        <f t="shared" si="141"/>
        <v>-2209</v>
      </c>
      <c r="I245" s="154">
        <f t="shared" si="141"/>
        <v>-5255</v>
      </c>
      <c r="J245" s="154"/>
      <c r="K245" s="154">
        <f t="shared" si="142"/>
        <v>-1220</v>
      </c>
      <c r="L245" s="154">
        <f t="shared" si="142"/>
        <v>-750</v>
      </c>
      <c r="M245" s="154">
        <f t="shared" si="142"/>
        <v>-2654</v>
      </c>
      <c r="N245" s="309">
        <v>5044</v>
      </c>
      <c r="O245" s="309">
        <v>37090</v>
      </c>
      <c r="P245" s="309">
        <v>3477</v>
      </c>
      <c r="Q245" s="309">
        <v>35281</v>
      </c>
      <c r="R245" s="309">
        <v>251786</v>
      </c>
      <c r="S245" s="309">
        <v>23036</v>
      </c>
      <c r="T245" s="309">
        <v>87176</v>
      </c>
      <c r="U245" s="309">
        <v>1513257</v>
      </c>
      <c r="V245" s="309">
        <v>37412</v>
      </c>
      <c r="W245" s="309">
        <v>435375</v>
      </c>
      <c r="X245" s="309">
        <v>2700947</v>
      </c>
      <c r="Y245" s="309">
        <v>287305</v>
      </c>
      <c r="Z245" s="309">
        <v>18437</v>
      </c>
      <c r="AA245" s="309">
        <v>152661</v>
      </c>
      <c r="AB245" s="309">
        <v>13475</v>
      </c>
      <c r="AC245" s="309">
        <v>19897</v>
      </c>
      <c r="AD245" s="309">
        <v>103047</v>
      </c>
      <c r="AE245" s="309">
        <v>14808</v>
      </c>
      <c r="AF245" s="309">
        <v>142290</v>
      </c>
      <c r="AG245" s="309">
        <v>801448</v>
      </c>
      <c r="AH245" s="309">
        <v>117837</v>
      </c>
    </row>
    <row r="246" spans="1:35" x14ac:dyDescent="0.15">
      <c r="A246" s="153">
        <f t="shared" si="140"/>
        <v>44197</v>
      </c>
      <c r="B246" s="154">
        <f t="shared" si="141"/>
        <v>931</v>
      </c>
      <c r="C246" s="154">
        <f t="shared" si="141"/>
        <v>-2133</v>
      </c>
      <c r="D246" s="154">
        <f t="shared" si="141"/>
        <v>-169</v>
      </c>
      <c r="E246" s="154">
        <f t="shared" si="141"/>
        <v>1246</v>
      </c>
      <c r="F246" s="154">
        <f t="shared" si="141"/>
        <v>212</v>
      </c>
      <c r="G246" s="154">
        <f t="shared" si="141"/>
        <v>1717</v>
      </c>
      <c r="H246" s="154">
        <f t="shared" si="141"/>
        <v>4477</v>
      </c>
      <c r="I246" s="154">
        <f t="shared" si="141"/>
        <v>13162</v>
      </c>
      <c r="J246" s="154"/>
      <c r="K246" s="154">
        <f t="shared" si="142"/>
        <v>873</v>
      </c>
      <c r="L246" s="154">
        <f t="shared" si="142"/>
        <v>1076</v>
      </c>
      <c r="M246" s="154">
        <f t="shared" si="142"/>
        <v>2181</v>
      </c>
      <c r="N246" s="309">
        <v>4566</v>
      </c>
      <c r="O246" s="309">
        <v>143683</v>
      </c>
      <c r="P246" s="309">
        <v>3092</v>
      </c>
      <c r="Q246" s="309">
        <v>94768</v>
      </c>
      <c r="R246" s="309">
        <v>915566</v>
      </c>
      <c r="S246" s="309">
        <v>64358</v>
      </c>
      <c r="T246" s="309">
        <v>230192</v>
      </c>
      <c r="U246" s="309">
        <v>3059401</v>
      </c>
      <c r="V246" s="309">
        <v>118902</v>
      </c>
      <c r="W246" s="309">
        <v>425601</v>
      </c>
      <c r="X246" s="309">
        <v>3745528</v>
      </c>
      <c r="Y246" s="309">
        <v>287337</v>
      </c>
      <c r="Z246" s="309">
        <v>11300</v>
      </c>
      <c r="AA246" s="309">
        <v>165812</v>
      </c>
      <c r="AB246" s="309">
        <v>8349</v>
      </c>
      <c r="AC246" s="309">
        <v>25614</v>
      </c>
      <c r="AD246" s="309">
        <v>205349</v>
      </c>
      <c r="AE246" s="309">
        <v>17425</v>
      </c>
      <c r="AF246" s="309">
        <v>119831</v>
      </c>
      <c r="AG246" s="309">
        <v>714477</v>
      </c>
      <c r="AH246" s="309">
        <v>100968</v>
      </c>
    </row>
    <row r="247" spans="1:35" x14ac:dyDescent="0.15">
      <c r="A247" s="153">
        <f t="shared" si="140"/>
        <v>44228</v>
      </c>
      <c r="B247" s="154">
        <f t="shared" si="141"/>
        <v>-270</v>
      </c>
      <c r="C247" s="154">
        <f t="shared" si="141"/>
        <v>2791</v>
      </c>
      <c r="D247" s="154">
        <f t="shared" si="141"/>
        <v>104</v>
      </c>
      <c r="E247" s="154">
        <f t="shared" si="141"/>
        <v>-691</v>
      </c>
      <c r="F247" s="154">
        <f t="shared" si="141"/>
        <v>-95</v>
      </c>
      <c r="G247" s="154">
        <f t="shared" si="141"/>
        <v>-772</v>
      </c>
      <c r="H247" s="154">
        <f t="shared" si="141"/>
        <v>-1728</v>
      </c>
      <c r="I247" s="154">
        <f t="shared" si="141"/>
        <v>-8880</v>
      </c>
      <c r="J247" s="154"/>
      <c r="K247" s="154">
        <f t="shared" si="142"/>
        <v>59</v>
      </c>
      <c r="L247" s="154">
        <f t="shared" si="142"/>
        <v>-315</v>
      </c>
      <c r="M247" s="154">
        <f t="shared" si="142"/>
        <v>-707</v>
      </c>
      <c r="N247" s="309">
        <v>6236</v>
      </c>
      <c r="O247" s="309">
        <v>50572</v>
      </c>
      <c r="P247" s="309">
        <v>4606</v>
      </c>
      <c r="Q247" s="309">
        <v>205451</v>
      </c>
      <c r="R247" s="309">
        <v>1386094</v>
      </c>
      <c r="S247" s="309">
        <v>164546</v>
      </c>
      <c r="T247" s="309">
        <v>652612</v>
      </c>
      <c r="U247" s="309">
        <v>7811167</v>
      </c>
      <c r="V247" s="309">
        <v>343312</v>
      </c>
      <c r="W247" s="309">
        <v>536704</v>
      </c>
      <c r="X247" s="309">
        <v>3727105</v>
      </c>
      <c r="Y247" s="309">
        <v>356268</v>
      </c>
      <c r="Z247" s="309">
        <v>18181</v>
      </c>
      <c r="AA247" s="309">
        <v>103414</v>
      </c>
      <c r="AB247" s="309">
        <v>14448</v>
      </c>
      <c r="AC247" s="309">
        <v>28056</v>
      </c>
      <c r="AD247" s="309">
        <v>221636</v>
      </c>
      <c r="AE247" s="309">
        <v>19278</v>
      </c>
      <c r="AF247" s="309">
        <v>127843</v>
      </c>
      <c r="AG247" s="309">
        <v>813099</v>
      </c>
      <c r="AH247" s="309">
        <v>107713</v>
      </c>
    </row>
    <row r="248" spans="1:35" x14ac:dyDescent="0.15">
      <c r="A248" s="153">
        <f t="shared" si="140"/>
        <v>44256</v>
      </c>
      <c r="B248" s="154">
        <f t="shared" si="141"/>
        <v>1368</v>
      </c>
      <c r="C248" s="154">
        <f t="shared" si="141"/>
        <v>3708</v>
      </c>
      <c r="D248" s="154">
        <f t="shared" si="141"/>
        <v>587</v>
      </c>
      <c r="E248" s="154">
        <f t="shared" si="141"/>
        <v>3558</v>
      </c>
      <c r="F248" s="154">
        <f t="shared" si="141"/>
        <v>177</v>
      </c>
      <c r="G248" s="154">
        <f t="shared" si="141"/>
        <v>5311</v>
      </c>
      <c r="H248" s="154">
        <f t="shared" si="141"/>
        <v>-5660</v>
      </c>
      <c r="I248" s="154">
        <f t="shared" si="141"/>
        <v>6556</v>
      </c>
      <c r="J248" s="154"/>
      <c r="K248" s="154">
        <f t="shared" si="142"/>
        <v>642</v>
      </c>
      <c r="L248" s="154">
        <f t="shared" si="142"/>
        <v>91</v>
      </c>
      <c r="M248" s="154">
        <f t="shared" si="142"/>
        <v>1855</v>
      </c>
      <c r="N248" s="309">
        <v>7576</v>
      </c>
      <c r="O248" s="309">
        <v>62644</v>
      </c>
      <c r="P248" s="309">
        <v>5560</v>
      </c>
      <c r="Q248" s="309">
        <v>127574</v>
      </c>
      <c r="R248" s="309">
        <v>958322</v>
      </c>
      <c r="S248" s="309">
        <v>89098</v>
      </c>
      <c r="T248" s="309">
        <v>605342</v>
      </c>
      <c r="U248" s="309">
        <v>7137162</v>
      </c>
      <c r="V248" s="309">
        <v>310180</v>
      </c>
      <c r="W248" s="309">
        <v>629406</v>
      </c>
      <c r="X248" s="309">
        <v>3935194</v>
      </c>
      <c r="Y248" s="309">
        <v>416514</v>
      </c>
      <c r="Z248" s="309">
        <v>17118</v>
      </c>
      <c r="AA248" s="309">
        <v>89676</v>
      </c>
      <c r="AB248" s="309">
        <v>13493</v>
      </c>
      <c r="AC248" s="309">
        <v>28531</v>
      </c>
      <c r="AD248" s="309">
        <v>206051</v>
      </c>
      <c r="AE248" s="309">
        <v>19950</v>
      </c>
      <c r="AF248" s="309">
        <v>106840</v>
      </c>
      <c r="AG248" s="309">
        <v>917822</v>
      </c>
      <c r="AH248" s="309">
        <v>87904</v>
      </c>
    </row>
    <row r="249" spans="1:35" x14ac:dyDescent="0.15">
      <c r="A249" s="153">
        <f t="shared" si="140"/>
        <v>44287</v>
      </c>
      <c r="B249" s="154">
        <f t="shared" si="141"/>
        <v>-769</v>
      </c>
      <c r="C249" s="154">
        <f t="shared" si="141"/>
        <v>2412</v>
      </c>
      <c r="D249" s="154">
        <f t="shared" si="141"/>
        <v>-271</v>
      </c>
      <c r="E249" s="154">
        <f t="shared" si="141"/>
        <v>511</v>
      </c>
      <c r="F249" s="154">
        <f t="shared" si="141"/>
        <v>578</v>
      </c>
      <c r="G249" s="154">
        <f t="shared" si="141"/>
        <v>-112</v>
      </c>
      <c r="H249" s="154">
        <f t="shared" si="141"/>
        <v>-1628</v>
      </c>
      <c r="I249" s="154">
        <f t="shared" si="141"/>
        <v>-265</v>
      </c>
      <c r="J249" s="154"/>
      <c r="K249" s="154">
        <f t="shared" si="142"/>
        <v>-117</v>
      </c>
      <c r="L249" s="154">
        <f t="shared" si="142"/>
        <v>-318</v>
      </c>
      <c r="M249" s="154">
        <f t="shared" si="142"/>
        <v>283</v>
      </c>
      <c r="N249" s="309">
        <v>8071</v>
      </c>
      <c r="O249" s="309">
        <v>70567</v>
      </c>
      <c r="P249" s="309">
        <v>5858</v>
      </c>
      <c r="Q249" s="309">
        <v>119538</v>
      </c>
      <c r="R249" s="309">
        <v>744359</v>
      </c>
      <c r="S249" s="309">
        <v>86934</v>
      </c>
      <c r="T249" s="309">
        <v>466031</v>
      </c>
      <c r="U249" s="309">
        <v>5830786</v>
      </c>
      <c r="V249" s="309">
        <v>244340</v>
      </c>
      <c r="W249" s="309">
        <v>645434</v>
      </c>
      <c r="X249" s="309">
        <v>3629180</v>
      </c>
      <c r="Y249" s="309">
        <v>446833</v>
      </c>
      <c r="Z249" s="309">
        <v>18982</v>
      </c>
      <c r="AA249" s="309">
        <v>113142</v>
      </c>
      <c r="AB249" s="309">
        <v>14175</v>
      </c>
      <c r="AC249" s="309">
        <v>29876</v>
      </c>
      <c r="AD249" s="309">
        <v>200215</v>
      </c>
      <c r="AE249" s="309">
        <v>21105</v>
      </c>
      <c r="AF249" s="309">
        <v>107864</v>
      </c>
      <c r="AG249" s="309">
        <v>895322</v>
      </c>
      <c r="AH249" s="309">
        <v>90311</v>
      </c>
    </row>
    <row r="250" spans="1:35" x14ac:dyDescent="0.15">
      <c r="A250" s="153">
        <f t="shared" si="140"/>
        <v>44317</v>
      </c>
      <c r="B250" s="154">
        <f t="shared" si="141"/>
        <v>180</v>
      </c>
      <c r="C250" s="154">
        <f t="shared" si="141"/>
        <v>777</v>
      </c>
      <c r="D250" s="154">
        <f t="shared" si="141"/>
        <v>-26</v>
      </c>
      <c r="E250" s="154">
        <f t="shared" si="141"/>
        <v>-1232</v>
      </c>
      <c r="F250" s="154">
        <f t="shared" si="141"/>
        <v>-496</v>
      </c>
      <c r="G250" s="154">
        <f t="shared" si="141"/>
        <v>-1993</v>
      </c>
      <c r="H250" s="154">
        <f t="shared" si="141"/>
        <v>750</v>
      </c>
      <c r="I250" s="154">
        <f t="shared" si="141"/>
        <v>3737</v>
      </c>
      <c r="J250" s="154"/>
      <c r="K250" s="154">
        <f t="shared" si="142"/>
        <v>-58</v>
      </c>
      <c r="L250" s="154">
        <f t="shared" si="142"/>
        <v>735</v>
      </c>
      <c r="M250" s="154">
        <f t="shared" si="142"/>
        <v>-2135</v>
      </c>
      <c r="N250" s="309">
        <v>10494</v>
      </c>
      <c r="O250" s="309">
        <v>102909</v>
      </c>
      <c r="P250" s="309">
        <v>7365</v>
      </c>
      <c r="Q250" s="309">
        <v>140454</v>
      </c>
      <c r="R250" s="309">
        <v>865811</v>
      </c>
      <c r="S250" s="309">
        <v>103590</v>
      </c>
      <c r="T250" s="309">
        <v>443373</v>
      </c>
      <c r="U250" s="309">
        <v>5429821</v>
      </c>
      <c r="V250" s="309">
        <v>232392</v>
      </c>
      <c r="W250" s="309">
        <v>729565</v>
      </c>
      <c r="X250" s="309">
        <v>4032173</v>
      </c>
      <c r="Y250" s="309">
        <v>505990</v>
      </c>
      <c r="Z250" s="309">
        <v>14071</v>
      </c>
      <c r="AA250" s="309">
        <v>97324</v>
      </c>
      <c r="AB250" s="309">
        <v>10766</v>
      </c>
      <c r="AC250" s="309">
        <v>37165</v>
      </c>
      <c r="AD250" s="309">
        <v>270832</v>
      </c>
      <c r="AE250" s="309">
        <v>23399</v>
      </c>
      <c r="AF250" s="309">
        <v>89576</v>
      </c>
      <c r="AG250" s="309">
        <v>938136</v>
      </c>
      <c r="AH250" s="309">
        <v>73954</v>
      </c>
    </row>
    <row r="251" spans="1:35" x14ac:dyDescent="0.15">
      <c r="A251" s="153">
        <f t="shared" si="140"/>
        <v>44348</v>
      </c>
      <c r="B251" s="154">
        <f t="shared" si="141"/>
        <v>-1346</v>
      </c>
      <c r="C251" s="154">
        <f t="shared" si="141"/>
        <v>-3493</v>
      </c>
      <c r="D251" s="154">
        <f t="shared" si="141"/>
        <v>-195</v>
      </c>
      <c r="E251" s="154">
        <f t="shared" si="141"/>
        <v>-2780</v>
      </c>
      <c r="F251" s="154">
        <f t="shared" si="141"/>
        <v>-359</v>
      </c>
      <c r="G251" s="154">
        <f t="shared" si="141"/>
        <v>-3419</v>
      </c>
      <c r="H251" s="154">
        <f t="shared" si="141"/>
        <v>-1177</v>
      </c>
      <c r="I251" s="154">
        <f t="shared" si="141"/>
        <v>3150</v>
      </c>
      <c r="J251" s="154"/>
      <c r="K251" s="154">
        <f t="shared" si="142"/>
        <v>-947</v>
      </c>
      <c r="L251" s="154">
        <f t="shared" si="142"/>
        <v>-154</v>
      </c>
      <c r="M251" s="154">
        <f t="shared" si="142"/>
        <v>-1624</v>
      </c>
      <c r="N251" s="309">
        <v>17347</v>
      </c>
      <c r="O251" s="309">
        <v>140576</v>
      </c>
      <c r="P251" s="309">
        <v>12048</v>
      </c>
      <c r="Q251" s="309">
        <v>189171</v>
      </c>
      <c r="R251" s="309">
        <v>1096949</v>
      </c>
      <c r="S251" s="309">
        <v>143345</v>
      </c>
      <c r="T251" s="309">
        <v>412847</v>
      </c>
      <c r="U251" s="309">
        <v>4971411</v>
      </c>
      <c r="V251" s="309">
        <v>220035</v>
      </c>
      <c r="W251" s="309">
        <v>766328</v>
      </c>
      <c r="X251" s="309">
        <v>3772779</v>
      </c>
      <c r="Y251" s="309">
        <v>524620</v>
      </c>
      <c r="Z251" s="309">
        <v>31846</v>
      </c>
      <c r="AA251" s="309">
        <v>275875</v>
      </c>
      <c r="AB251" s="309">
        <v>23530</v>
      </c>
      <c r="AC251" s="309">
        <v>36216</v>
      </c>
      <c r="AD251" s="309">
        <v>303768</v>
      </c>
      <c r="AE251" s="309">
        <v>25158</v>
      </c>
      <c r="AF251" s="309">
        <v>88746</v>
      </c>
      <c r="AG251" s="309">
        <v>893022</v>
      </c>
      <c r="AH251" s="309">
        <v>72917</v>
      </c>
    </row>
    <row r="252" spans="1:35" x14ac:dyDescent="0.15">
      <c r="A252" s="153">
        <f t="shared" si="140"/>
        <v>44378</v>
      </c>
      <c r="B252" s="154">
        <f t="shared" si="141"/>
        <v>-732</v>
      </c>
      <c r="C252" s="154">
        <f t="shared" si="141"/>
        <v>-1353</v>
      </c>
      <c r="D252" s="154">
        <f t="shared" si="141"/>
        <v>171</v>
      </c>
      <c r="E252" s="154">
        <f t="shared" si="141"/>
        <v>486</v>
      </c>
      <c r="F252" s="154">
        <f t="shared" si="141"/>
        <v>58</v>
      </c>
      <c r="G252" s="154">
        <f t="shared" si="141"/>
        <v>837</v>
      </c>
      <c r="H252" s="154">
        <f t="shared" si="141"/>
        <v>1149</v>
      </c>
      <c r="I252" s="154">
        <f t="shared" si="141"/>
        <v>8204</v>
      </c>
      <c r="J252" s="154"/>
      <c r="K252" s="154">
        <f t="shared" si="142"/>
        <v>46</v>
      </c>
      <c r="L252" s="154">
        <f t="shared" si="142"/>
        <v>69</v>
      </c>
      <c r="M252" s="154">
        <f t="shared" si="142"/>
        <v>531</v>
      </c>
      <c r="N252" s="310">
        <v>23160</v>
      </c>
      <c r="O252" s="310">
        <v>392057</v>
      </c>
      <c r="P252" s="310">
        <v>15823</v>
      </c>
      <c r="Q252" s="310">
        <v>195153</v>
      </c>
      <c r="R252" s="310">
        <v>1059513</v>
      </c>
      <c r="S252" s="310">
        <v>141014</v>
      </c>
      <c r="T252" s="310">
        <v>301594</v>
      </c>
      <c r="U252" s="310">
        <v>3294341</v>
      </c>
      <c r="V252" s="310">
        <v>169008</v>
      </c>
      <c r="W252" s="310">
        <v>857579</v>
      </c>
      <c r="X252" s="310">
        <v>4071275</v>
      </c>
      <c r="Y252" s="310">
        <v>572807</v>
      </c>
      <c r="Z252" s="310">
        <v>46518</v>
      </c>
      <c r="AA252" s="310">
        <v>454588</v>
      </c>
      <c r="AB252" s="310">
        <v>33545</v>
      </c>
      <c r="AC252" s="310">
        <v>39732</v>
      </c>
      <c r="AD252" s="310">
        <v>343100</v>
      </c>
      <c r="AE252" s="310">
        <v>27157</v>
      </c>
      <c r="AF252" s="310">
        <v>94980</v>
      </c>
      <c r="AG252" s="310">
        <v>923167</v>
      </c>
      <c r="AH252" s="310">
        <v>78103</v>
      </c>
    </row>
    <row r="253" spans="1:35" x14ac:dyDescent="0.15">
      <c r="A253" s="153">
        <f t="shared" si="140"/>
        <v>44409</v>
      </c>
      <c r="B253" s="154">
        <f t="shared" si="141"/>
        <v>-330</v>
      </c>
      <c r="C253" s="154">
        <f t="shared" si="141"/>
        <v>-10691</v>
      </c>
      <c r="D253" s="154">
        <f t="shared" si="141"/>
        <v>-476</v>
      </c>
      <c r="E253" s="154">
        <f t="shared" si="141"/>
        <v>-1345</v>
      </c>
      <c r="F253" s="154">
        <f t="shared" si="141"/>
        <v>-45</v>
      </c>
      <c r="G253" s="154">
        <f t="shared" si="141"/>
        <v>221</v>
      </c>
      <c r="H253" s="154">
        <f t="shared" si="141"/>
        <v>15501</v>
      </c>
      <c r="I253" s="154">
        <f t="shared" si="141"/>
        <v>10602</v>
      </c>
      <c r="J253" s="154"/>
      <c r="K253" s="154">
        <f t="shared" si="142"/>
        <v>-44</v>
      </c>
      <c r="L253" s="154">
        <f t="shared" si="142"/>
        <v>-36</v>
      </c>
      <c r="M253" s="154">
        <f t="shared" si="142"/>
        <v>-177</v>
      </c>
      <c r="N253" s="309">
        <v>24485</v>
      </c>
      <c r="O253" s="309">
        <v>529075</v>
      </c>
      <c r="P253" s="309">
        <v>16568</v>
      </c>
      <c r="Q253" s="309">
        <v>209718</v>
      </c>
      <c r="R253" s="309">
        <v>1158426</v>
      </c>
      <c r="S253" s="309">
        <v>153371</v>
      </c>
      <c r="T253" s="309">
        <v>217721</v>
      </c>
      <c r="U253" s="309">
        <v>3095213</v>
      </c>
      <c r="V253" s="309">
        <v>136357</v>
      </c>
      <c r="W253" s="309">
        <v>798789</v>
      </c>
      <c r="X253" s="309">
        <v>3813884</v>
      </c>
      <c r="Y253" s="309">
        <v>541879</v>
      </c>
      <c r="Z253" s="309">
        <v>46775</v>
      </c>
      <c r="AA253" s="309">
        <v>637712</v>
      </c>
      <c r="AB253" s="309">
        <v>34391</v>
      </c>
      <c r="AC253" s="309">
        <v>40086</v>
      </c>
      <c r="AD253" s="309">
        <v>1354393</v>
      </c>
      <c r="AE253" s="309">
        <v>27758</v>
      </c>
      <c r="AF253" s="309">
        <v>103800</v>
      </c>
      <c r="AG253" s="309">
        <v>1788088</v>
      </c>
      <c r="AH253" s="309">
        <v>83337</v>
      </c>
    </row>
    <row r="254" spans="1:35" x14ac:dyDescent="0.15">
      <c r="A254" s="153">
        <f t="shared" si="140"/>
        <v>44440</v>
      </c>
      <c r="B254" s="154">
        <f t="shared" si="141"/>
        <v>1081</v>
      </c>
      <c r="C254" s="154">
        <f t="shared" si="141"/>
        <v>1572</v>
      </c>
      <c r="D254" s="154">
        <f t="shared" si="141"/>
        <v>238</v>
      </c>
      <c r="E254" s="154">
        <f t="shared" si="141"/>
        <v>1258</v>
      </c>
      <c r="F254" s="154">
        <f t="shared" si="141"/>
        <v>97</v>
      </c>
      <c r="G254" s="154">
        <f t="shared" si="141"/>
        <v>-120</v>
      </c>
      <c r="H254" s="154">
        <f t="shared" si="141"/>
        <v>-12657</v>
      </c>
      <c r="I254" s="154">
        <f t="shared" si="141"/>
        <v>-10511</v>
      </c>
      <c r="J254" s="154"/>
      <c r="K254" s="154">
        <f t="shared" si="142"/>
        <v>597</v>
      </c>
      <c r="L254" s="154">
        <f t="shared" si="142"/>
        <v>174</v>
      </c>
      <c r="M254" s="154">
        <f t="shared" si="142"/>
        <v>1823</v>
      </c>
      <c r="N254" s="310">
        <v>18921</v>
      </c>
      <c r="O254" s="310">
        <v>382124</v>
      </c>
      <c r="P254" s="310">
        <v>13275</v>
      </c>
      <c r="Q254" s="310">
        <v>213537</v>
      </c>
      <c r="R254" s="310">
        <v>2033553</v>
      </c>
      <c r="S254" s="310">
        <v>158733</v>
      </c>
      <c r="T254" s="310">
        <v>145511</v>
      </c>
      <c r="U254" s="310">
        <v>1377240</v>
      </c>
      <c r="V254" s="310">
        <v>107736</v>
      </c>
      <c r="W254" s="310">
        <v>986483</v>
      </c>
      <c r="X254" s="310">
        <v>4642807</v>
      </c>
      <c r="Y254" s="310">
        <v>668488</v>
      </c>
      <c r="Z254" s="310">
        <v>50038</v>
      </c>
      <c r="AA254" s="310">
        <v>583216</v>
      </c>
      <c r="AB254" s="310">
        <v>37411</v>
      </c>
      <c r="AC254" s="310">
        <v>47740</v>
      </c>
      <c r="AD254" s="310">
        <v>1204490</v>
      </c>
      <c r="AE254" s="310">
        <v>32997</v>
      </c>
      <c r="AF254" s="310">
        <v>116957</v>
      </c>
      <c r="AG254" s="310">
        <v>1895297</v>
      </c>
      <c r="AH254" s="310">
        <v>89647</v>
      </c>
    </row>
    <row r="255" spans="1:35" x14ac:dyDescent="0.15">
      <c r="A255" s="35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311">
        <f t="shared" ref="C255:AH273" si="143">SUM(N242:N254)</f>
        <v>129463</v>
      </c>
      <c r="O255" s="311">
        <f t="shared" si="143"/>
        <v>1936590</v>
      </c>
      <c r="P255" s="311">
        <f t="shared" si="143"/>
        <v>89683</v>
      </c>
      <c r="Q255" s="311">
        <f t="shared" si="143"/>
        <v>1736246</v>
      </c>
      <c r="R255" s="311">
        <f t="shared" si="143"/>
        <v>12341240</v>
      </c>
      <c r="S255" s="311">
        <f t="shared" si="143"/>
        <v>1249644</v>
      </c>
      <c r="T255" s="311">
        <f t="shared" si="143"/>
        <v>3754469</v>
      </c>
      <c r="U255" s="311">
        <f t="shared" si="143"/>
        <v>46935956</v>
      </c>
      <c r="V255" s="311">
        <f t="shared" si="143"/>
        <v>1988999</v>
      </c>
      <c r="W255" s="311">
        <f t="shared" si="143"/>
        <v>7857150</v>
      </c>
      <c r="X255" s="311">
        <f t="shared" si="143"/>
        <v>46270358</v>
      </c>
      <c r="Y255" s="311">
        <f t="shared" si="143"/>
        <v>5329932</v>
      </c>
      <c r="Z255" s="311">
        <f t="shared" si="143"/>
        <v>320011</v>
      </c>
      <c r="AA255" s="311">
        <f t="shared" si="143"/>
        <v>3105161</v>
      </c>
      <c r="AB255" s="311">
        <f t="shared" si="143"/>
        <v>237097</v>
      </c>
      <c r="AC255" s="311">
        <f t="shared" si="143"/>
        <v>420703</v>
      </c>
      <c r="AD255" s="311">
        <f t="shared" si="143"/>
        <v>5171905</v>
      </c>
      <c r="AE255" s="311">
        <f t="shared" si="143"/>
        <v>285261</v>
      </c>
      <c r="AF255" s="311">
        <f t="shared" si="143"/>
        <v>1254362</v>
      </c>
      <c r="AG255" s="311">
        <f t="shared" si="143"/>
        <v>11501133</v>
      </c>
      <c r="AH255" s="311">
        <f t="shared" si="143"/>
        <v>1025895</v>
      </c>
    </row>
    <row r="256" spans="1:35" x14ac:dyDescent="0.15">
      <c r="A256" s="35"/>
    </row>
    <row r="257" spans="1:13" x14ac:dyDescent="0.15">
      <c r="A257" s="34" t="s">
        <v>139</v>
      </c>
    </row>
    <row r="258" spans="1:13" x14ac:dyDescent="0.15">
      <c r="A258" s="27"/>
      <c r="B258" s="397" t="s">
        <v>3</v>
      </c>
      <c r="C258" s="398"/>
      <c r="D258" s="399"/>
      <c r="E258" s="397" t="s">
        <v>4</v>
      </c>
      <c r="F258" s="398"/>
      <c r="G258" s="399"/>
      <c r="H258" s="397" t="s">
        <v>5</v>
      </c>
      <c r="I258" s="398"/>
      <c r="J258" s="399"/>
      <c r="K258" s="397" t="s">
        <v>49</v>
      </c>
      <c r="L258" s="398"/>
      <c r="M258" s="399"/>
    </row>
    <row r="259" spans="1:13" x14ac:dyDescent="0.15">
      <c r="A259" s="121" t="s">
        <v>60</v>
      </c>
      <c r="B259" s="119" t="s">
        <v>52</v>
      </c>
      <c r="C259" s="119" t="s">
        <v>53</v>
      </c>
      <c r="D259" s="119" t="s">
        <v>51</v>
      </c>
      <c r="E259" s="119" t="s">
        <v>52</v>
      </c>
      <c r="F259" s="119" t="s">
        <v>53</v>
      </c>
      <c r="G259" s="119" t="s">
        <v>51</v>
      </c>
      <c r="H259" s="119" t="s">
        <v>52</v>
      </c>
      <c r="I259" s="119" t="s">
        <v>53</v>
      </c>
      <c r="J259" s="119" t="s">
        <v>51</v>
      </c>
      <c r="K259" s="119" t="s">
        <v>52</v>
      </c>
      <c r="L259" s="119" t="s">
        <v>53</v>
      </c>
      <c r="M259" s="119" t="s">
        <v>51</v>
      </c>
    </row>
    <row r="260" spans="1:13" x14ac:dyDescent="0.15">
      <c r="A260" s="219" t="s">
        <v>59</v>
      </c>
      <c r="B260" s="136">
        <v>125817</v>
      </c>
      <c r="C260" s="136">
        <v>1394032</v>
      </c>
      <c r="D260" s="136">
        <v>84470</v>
      </c>
      <c r="E260" s="136"/>
      <c r="F260" s="136"/>
      <c r="G260" s="136"/>
      <c r="H260" s="136"/>
      <c r="I260" s="136"/>
      <c r="J260" s="136"/>
      <c r="K260" s="136">
        <v>141171</v>
      </c>
      <c r="L260" s="136">
        <v>1607037</v>
      </c>
      <c r="M260" s="136">
        <v>78948</v>
      </c>
    </row>
    <row r="261" spans="1:13" x14ac:dyDescent="0.15">
      <c r="A261" s="219" t="s">
        <v>37</v>
      </c>
      <c r="B261" s="136">
        <v>145765</v>
      </c>
      <c r="C261" s="136">
        <v>1613397</v>
      </c>
      <c r="D261" s="136">
        <v>96327</v>
      </c>
      <c r="E261" s="136">
        <v>7745</v>
      </c>
      <c r="F261" s="136">
        <v>86406</v>
      </c>
      <c r="G261" s="136">
        <v>4014</v>
      </c>
      <c r="H261" s="136"/>
      <c r="I261" s="136"/>
      <c r="J261" s="136"/>
      <c r="K261" s="136">
        <v>143781</v>
      </c>
      <c r="L261" s="136">
        <v>1636681</v>
      </c>
      <c r="M261" s="136">
        <v>82771</v>
      </c>
    </row>
    <row r="262" spans="1:13" x14ac:dyDescent="0.15">
      <c r="A262" s="219" t="s">
        <v>38</v>
      </c>
      <c r="B262" s="136">
        <v>160681</v>
      </c>
      <c r="C262" s="136">
        <v>1799677</v>
      </c>
      <c r="D262" s="136">
        <v>109905</v>
      </c>
      <c r="E262" s="136">
        <v>6366</v>
      </c>
      <c r="F262" s="136">
        <v>86010</v>
      </c>
      <c r="G262" s="136">
        <v>2548</v>
      </c>
      <c r="H262" s="136">
        <v>1195</v>
      </c>
      <c r="I262" s="136">
        <v>7220</v>
      </c>
      <c r="J262" s="136">
        <v>979</v>
      </c>
      <c r="K262" s="136">
        <v>144585</v>
      </c>
      <c r="L262" s="136">
        <v>3472493</v>
      </c>
      <c r="M262" s="136">
        <v>80801</v>
      </c>
    </row>
    <row r="263" spans="1:13" x14ac:dyDescent="0.15">
      <c r="A263" s="219" t="s">
        <v>39</v>
      </c>
      <c r="B263" s="136">
        <v>191478</v>
      </c>
      <c r="C263" s="136">
        <v>2205316</v>
      </c>
      <c r="D263" s="136">
        <v>129351</v>
      </c>
      <c r="E263" s="136">
        <v>16270</v>
      </c>
      <c r="F263" s="136">
        <v>184821</v>
      </c>
      <c r="G263" s="136">
        <v>8779</v>
      </c>
      <c r="H263" s="136">
        <v>2241</v>
      </c>
      <c r="I263" s="136">
        <v>13695</v>
      </c>
      <c r="J263" s="136">
        <v>1935</v>
      </c>
      <c r="K263" s="136">
        <v>155369</v>
      </c>
      <c r="L263" s="136">
        <v>5690078</v>
      </c>
      <c r="M263" s="136">
        <v>81529</v>
      </c>
    </row>
    <row r="264" spans="1:13" x14ac:dyDescent="0.15">
      <c r="A264" s="219" t="s">
        <v>40</v>
      </c>
      <c r="B264" s="136">
        <v>199316</v>
      </c>
      <c r="C264" s="136">
        <v>2420483</v>
      </c>
      <c r="D264" s="136">
        <v>139685</v>
      </c>
      <c r="E264" s="136">
        <v>13772</v>
      </c>
      <c r="F264" s="136">
        <v>177994</v>
      </c>
      <c r="G264" s="136">
        <v>5236</v>
      </c>
      <c r="H264" s="136">
        <v>2504</v>
      </c>
      <c r="I264" s="136">
        <v>57720</v>
      </c>
      <c r="J264" s="136">
        <v>2093</v>
      </c>
      <c r="K264" s="136">
        <v>191134</v>
      </c>
      <c r="L264" s="136">
        <v>7011266</v>
      </c>
      <c r="M264" s="136">
        <v>108531</v>
      </c>
    </row>
    <row r="265" spans="1:13" x14ac:dyDescent="0.15">
      <c r="A265" s="219" t="s">
        <v>41</v>
      </c>
      <c r="B265" s="136">
        <v>165200</v>
      </c>
      <c r="C265" s="136">
        <v>1743569</v>
      </c>
      <c r="D265" s="136">
        <v>106536</v>
      </c>
      <c r="E265" s="136">
        <v>13439</v>
      </c>
      <c r="F265" s="136">
        <v>124754</v>
      </c>
      <c r="G265" s="136">
        <v>7258</v>
      </c>
      <c r="H265" s="136">
        <v>5628</v>
      </c>
      <c r="I265" s="136">
        <v>108135</v>
      </c>
      <c r="J265" s="136">
        <v>4486</v>
      </c>
      <c r="K265" s="136">
        <v>214570</v>
      </c>
      <c r="L265" s="136">
        <v>7631590</v>
      </c>
      <c r="M265" s="136">
        <v>120292</v>
      </c>
    </row>
    <row r="266" spans="1:13" x14ac:dyDescent="0.15">
      <c r="A266" s="219" t="s">
        <v>42</v>
      </c>
      <c r="B266" s="136">
        <v>159750</v>
      </c>
      <c r="C266" s="136">
        <v>1808786</v>
      </c>
      <c r="D266" s="136">
        <v>100981</v>
      </c>
      <c r="E266" s="136">
        <v>13782</v>
      </c>
      <c r="F266" s="136">
        <v>122536</v>
      </c>
      <c r="G266" s="136">
        <v>8039</v>
      </c>
      <c r="H266" s="136">
        <v>8326</v>
      </c>
      <c r="I266" s="136">
        <v>347006</v>
      </c>
      <c r="J266" s="136">
        <v>5414</v>
      </c>
      <c r="K266" s="136">
        <v>225553</v>
      </c>
      <c r="L266" s="136">
        <v>9735100</v>
      </c>
      <c r="M266" s="136">
        <v>125907</v>
      </c>
    </row>
    <row r="267" spans="1:13" x14ac:dyDescent="0.15">
      <c r="A267" s="219" t="s">
        <v>43</v>
      </c>
      <c r="B267" s="136">
        <v>47436</v>
      </c>
      <c r="C267" s="136">
        <v>483566</v>
      </c>
      <c r="D267" s="136">
        <v>31305</v>
      </c>
      <c r="E267" s="136">
        <v>20584</v>
      </c>
      <c r="F267" s="136">
        <v>142425</v>
      </c>
      <c r="G267" s="136">
        <v>13983</v>
      </c>
      <c r="H267" s="136">
        <v>6975</v>
      </c>
      <c r="I267" s="136">
        <v>122957</v>
      </c>
      <c r="J267" s="136">
        <v>4896</v>
      </c>
      <c r="K267" s="136">
        <v>217305</v>
      </c>
      <c r="L267" s="136">
        <v>10234228</v>
      </c>
      <c r="M267" s="136">
        <v>120646</v>
      </c>
    </row>
    <row r="268" spans="1:13" x14ac:dyDescent="0.15">
      <c r="A268" s="219" t="s">
        <v>45</v>
      </c>
      <c r="B268" s="136">
        <v>52864</v>
      </c>
      <c r="C268" s="136">
        <v>501339</v>
      </c>
      <c r="D268" s="136">
        <v>35782</v>
      </c>
      <c r="E268" s="136">
        <v>30739</v>
      </c>
      <c r="F268" s="136">
        <v>203901</v>
      </c>
      <c r="G268" s="136">
        <v>20779</v>
      </c>
      <c r="H268" s="136">
        <v>8284</v>
      </c>
      <c r="I268" s="136">
        <v>53139</v>
      </c>
      <c r="J268" s="136">
        <v>6574</v>
      </c>
      <c r="K268" s="136">
        <v>246689</v>
      </c>
      <c r="L268" s="136">
        <v>6004302</v>
      </c>
      <c r="M268" s="136">
        <v>141377</v>
      </c>
    </row>
    <row r="269" spans="1:13" x14ac:dyDescent="0.15">
      <c r="A269" s="219" t="s">
        <v>72</v>
      </c>
      <c r="B269" s="136">
        <v>55046</v>
      </c>
      <c r="C269" s="136">
        <v>542003</v>
      </c>
      <c r="D269" s="136">
        <v>38903</v>
      </c>
      <c r="E269" s="136">
        <v>65720</v>
      </c>
      <c r="F269" s="136">
        <v>295582</v>
      </c>
      <c r="G269" s="136">
        <v>41371</v>
      </c>
      <c r="H269" s="136">
        <v>10869</v>
      </c>
      <c r="I269" s="136">
        <v>64554</v>
      </c>
      <c r="J269" s="136">
        <v>8640</v>
      </c>
      <c r="K269" s="136">
        <v>206088</v>
      </c>
      <c r="L269" s="136">
        <v>2180301</v>
      </c>
      <c r="M269" s="136">
        <v>128457</v>
      </c>
    </row>
    <row r="270" spans="1:13" x14ac:dyDescent="0.15">
      <c r="A270" s="220" t="s">
        <v>92</v>
      </c>
      <c r="B270" s="165">
        <v>58238</v>
      </c>
      <c r="C270" s="165">
        <v>551711</v>
      </c>
      <c r="D270" s="165">
        <v>40974</v>
      </c>
      <c r="E270" s="165">
        <v>108364</v>
      </c>
      <c r="F270" s="165">
        <v>388556</v>
      </c>
      <c r="G270" s="165">
        <v>70696</v>
      </c>
      <c r="H270" s="165">
        <v>14866</v>
      </c>
      <c r="I270" s="165">
        <v>96028</v>
      </c>
      <c r="J270" s="165">
        <v>11549</v>
      </c>
      <c r="K270" s="165">
        <v>190206</v>
      </c>
      <c r="L270" s="165">
        <v>1902393</v>
      </c>
      <c r="M270" s="165">
        <v>118779</v>
      </c>
    </row>
    <row r="271" spans="1:13" x14ac:dyDescent="0.15">
      <c r="A271" s="219" t="s">
        <v>99</v>
      </c>
      <c r="B271" s="136">
        <v>67042</v>
      </c>
      <c r="C271" s="136">
        <v>818083</v>
      </c>
      <c r="D271" s="136">
        <v>49138</v>
      </c>
      <c r="E271" s="136">
        <v>161646</v>
      </c>
      <c r="F271" s="136">
        <v>551398</v>
      </c>
      <c r="G271" s="136">
        <v>106949</v>
      </c>
      <c r="H271" s="136">
        <v>25193</v>
      </c>
      <c r="I271" s="136">
        <v>276196</v>
      </c>
      <c r="J271" s="136">
        <v>19688</v>
      </c>
      <c r="K271" s="136">
        <v>150117</v>
      </c>
      <c r="L271" s="136">
        <v>2584212</v>
      </c>
      <c r="M271" s="136">
        <v>93299</v>
      </c>
    </row>
    <row r="272" spans="1:13" x14ac:dyDescent="0.15">
      <c r="A272" s="299" t="s">
        <v>124</v>
      </c>
      <c r="B272" s="300">
        <v>65954</v>
      </c>
      <c r="C272" s="300">
        <v>881990</v>
      </c>
      <c r="D272" s="300">
        <v>51239</v>
      </c>
      <c r="E272" s="300">
        <v>197225</v>
      </c>
      <c r="F272" s="300">
        <v>1074442</v>
      </c>
      <c r="G272" s="300">
        <v>130464</v>
      </c>
      <c r="H272" s="300">
        <v>26813</v>
      </c>
      <c r="I272" s="300">
        <v>288632</v>
      </c>
      <c r="J272" s="300">
        <v>21205</v>
      </c>
      <c r="K272" s="300">
        <v>160944</v>
      </c>
      <c r="L272" s="300">
        <v>2185900</v>
      </c>
      <c r="M272" s="300">
        <v>104518</v>
      </c>
    </row>
    <row r="273" spans="1:37" x14ac:dyDescent="0.15">
      <c r="A273" s="147" t="s">
        <v>54</v>
      </c>
      <c r="B273" s="141">
        <f>SUM(B260:B272)</f>
        <v>1494587</v>
      </c>
      <c r="C273" s="141">
        <f t="shared" si="143"/>
        <v>16763952</v>
      </c>
      <c r="D273" s="141">
        <f t="shared" si="143"/>
        <v>1014596</v>
      </c>
      <c r="E273" s="141">
        <f t="shared" si="143"/>
        <v>655652</v>
      </c>
      <c r="F273" s="141">
        <f t="shared" si="143"/>
        <v>3438825</v>
      </c>
      <c r="G273" s="141">
        <f t="shared" si="143"/>
        <v>420116</v>
      </c>
      <c r="H273" s="141">
        <f t="shared" si="143"/>
        <v>112894</v>
      </c>
      <c r="I273" s="141">
        <f t="shared" si="143"/>
        <v>1435282</v>
      </c>
      <c r="J273" s="141">
        <f t="shared" si="143"/>
        <v>87459</v>
      </c>
      <c r="K273" s="141">
        <f t="shared" si="143"/>
        <v>2387512</v>
      </c>
      <c r="L273" s="141">
        <f t="shared" si="143"/>
        <v>61875581</v>
      </c>
      <c r="M273" s="141">
        <f t="shared" si="143"/>
        <v>1385855</v>
      </c>
    </row>
    <row r="274" spans="1:37" x14ac:dyDescent="0.15">
      <c r="B274" s="35" t="s">
        <v>109</v>
      </c>
    </row>
    <row r="277" spans="1:37" x14ac:dyDescent="0.15">
      <c r="A277" s="34" t="s">
        <v>140</v>
      </c>
    </row>
    <row r="278" spans="1:37" x14ac:dyDescent="0.15">
      <c r="A278" s="27"/>
      <c r="B278" s="397" t="s">
        <v>3</v>
      </c>
      <c r="C278" s="398"/>
      <c r="D278" s="399"/>
      <c r="E278" s="397" t="s">
        <v>4</v>
      </c>
      <c r="F278" s="398"/>
      <c r="G278" s="399"/>
      <c r="H278" s="397" t="s">
        <v>5</v>
      </c>
      <c r="I278" s="398"/>
      <c r="J278" s="399"/>
      <c r="K278" s="397" t="s">
        <v>49</v>
      </c>
      <c r="L278" s="398"/>
      <c r="M278" s="399"/>
      <c r="N278" s="397" t="s">
        <v>7</v>
      </c>
      <c r="O278" s="398"/>
      <c r="P278" s="399"/>
      <c r="Q278" s="397" t="s">
        <v>50</v>
      </c>
      <c r="R278" s="398"/>
      <c r="S278" s="399"/>
      <c r="T278" s="397" t="s">
        <v>123</v>
      </c>
      <c r="U278" s="398"/>
      <c r="V278" s="399"/>
      <c r="W278" s="397" t="s">
        <v>8</v>
      </c>
      <c r="X278" s="398"/>
      <c r="Y278" s="399"/>
      <c r="Z278" s="397" t="s">
        <v>17</v>
      </c>
      <c r="AA278" s="398"/>
      <c r="AB278" s="399"/>
      <c r="AC278" s="397" t="s">
        <v>9</v>
      </c>
      <c r="AD278" s="398"/>
      <c r="AE278" s="399"/>
      <c r="AF278" s="397" t="s">
        <v>12</v>
      </c>
      <c r="AG278" s="398"/>
      <c r="AH278" s="399"/>
      <c r="AI278" s="397" t="s">
        <v>10</v>
      </c>
      <c r="AJ278" s="398"/>
      <c r="AK278" s="399"/>
    </row>
    <row r="279" spans="1:37" x14ac:dyDescent="0.15">
      <c r="A279" s="121" t="s">
        <v>60</v>
      </c>
      <c r="B279" s="119" t="s">
        <v>52</v>
      </c>
      <c r="C279" s="119" t="s">
        <v>53</v>
      </c>
      <c r="D279" s="119" t="s">
        <v>51</v>
      </c>
      <c r="E279" s="119" t="s">
        <v>52</v>
      </c>
      <c r="F279" s="119" t="s">
        <v>53</v>
      </c>
      <c r="G279" s="119" t="s">
        <v>51</v>
      </c>
      <c r="H279" s="119" t="s">
        <v>52</v>
      </c>
      <c r="I279" s="119" t="s">
        <v>53</v>
      </c>
      <c r="J279" s="119" t="s">
        <v>51</v>
      </c>
      <c r="K279" s="119" t="s">
        <v>52</v>
      </c>
      <c r="L279" s="119" t="s">
        <v>53</v>
      </c>
      <c r="M279" s="119" t="s">
        <v>51</v>
      </c>
      <c r="N279" s="119" t="s">
        <v>52</v>
      </c>
      <c r="O279" s="119" t="s">
        <v>53</v>
      </c>
      <c r="P279" s="119" t="s">
        <v>51</v>
      </c>
      <c r="Q279" s="119" t="s">
        <v>52</v>
      </c>
      <c r="R279" s="119" t="s">
        <v>53</v>
      </c>
      <c r="S279" s="119" t="s">
        <v>51</v>
      </c>
      <c r="T279" s="119" t="s">
        <v>52</v>
      </c>
      <c r="U279" s="119" t="s">
        <v>53</v>
      </c>
      <c r="V279" s="119" t="s">
        <v>51</v>
      </c>
      <c r="W279" s="119" t="s">
        <v>52</v>
      </c>
      <c r="X279" s="119" t="s">
        <v>53</v>
      </c>
      <c r="Y279" s="119" t="s">
        <v>51</v>
      </c>
      <c r="Z279" s="119" t="s">
        <v>52</v>
      </c>
      <c r="AA279" s="119" t="s">
        <v>53</v>
      </c>
      <c r="AB279" s="119" t="s">
        <v>51</v>
      </c>
      <c r="AC279" s="119" t="s">
        <v>52</v>
      </c>
      <c r="AD279" s="119" t="s">
        <v>53</v>
      </c>
      <c r="AE279" s="119" t="s">
        <v>51</v>
      </c>
      <c r="AF279" s="119" t="s">
        <v>52</v>
      </c>
      <c r="AG279" s="119" t="s">
        <v>53</v>
      </c>
      <c r="AH279" s="119" t="s">
        <v>51</v>
      </c>
      <c r="AI279" s="119" t="s">
        <v>52</v>
      </c>
      <c r="AJ279" s="119" t="s">
        <v>53</v>
      </c>
      <c r="AK279" s="119" t="s">
        <v>51</v>
      </c>
    </row>
    <row r="280" spans="1:37" x14ac:dyDescent="0.15">
      <c r="A280" s="219" t="s">
        <v>59</v>
      </c>
      <c r="B280" s="136">
        <v>125817</v>
      </c>
      <c r="C280" s="136">
        <v>1394032</v>
      </c>
      <c r="D280" s="136">
        <v>84470</v>
      </c>
      <c r="E280" s="136"/>
      <c r="F280" s="136"/>
      <c r="G280" s="136"/>
      <c r="H280" s="136"/>
      <c r="I280" s="136"/>
      <c r="J280" s="136"/>
      <c r="K280" s="136">
        <v>141171</v>
      </c>
      <c r="L280" s="136">
        <v>1607037</v>
      </c>
      <c r="M280" s="136">
        <v>78948</v>
      </c>
      <c r="N280" s="136"/>
      <c r="O280" s="136"/>
      <c r="P280" s="136"/>
      <c r="Q280" s="136">
        <v>74193</v>
      </c>
      <c r="R280" s="136">
        <v>735937</v>
      </c>
      <c r="S280" s="136">
        <v>41991</v>
      </c>
      <c r="T280" s="136">
        <v>53574</v>
      </c>
      <c r="U280" s="136">
        <v>979938</v>
      </c>
      <c r="V280" s="136">
        <v>17740</v>
      </c>
      <c r="W280" s="136">
        <v>257646</v>
      </c>
      <c r="X280" s="136">
        <v>2285747</v>
      </c>
      <c r="Y280" s="136">
        <v>187325</v>
      </c>
      <c r="Z280" s="165"/>
      <c r="AA280" s="165"/>
      <c r="AB280" s="165"/>
      <c r="AC280" s="136">
        <v>11242</v>
      </c>
      <c r="AD280" s="136">
        <v>117277</v>
      </c>
      <c r="AE280" s="136">
        <v>7857</v>
      </c>
      <c r="AF280" s="136">
        <v>43722</v>
      </c>
      <c r="AG280" s="136">
        <v>479754</v>
      </c>
      <c r="AH280" s="136">
        <v>24748</v>
      </c>
      <c r="AI280" s="136"/>
      <c r="AJ280" s="136"/>
      <c r="AK280" s="136"/>
    </row>
    <row r="281" spans="1:37" x14ac:dyDescent="0.15">
      <c r="A281" s="219" t="s">
        <v>37</v>
      </c>
      <c r="B281" s="136">
        <v>145765</v>
      </c>
      <c r="C281" s="136">
        <v>1613397</v>
      </c>
      <c r="D281" s="136">
        <v>96327</v>
      </c>
      <c r="E281" s="136">
        <v>7745</v>
      </c>
      <c r="F281" s="136">
        <v>86406</v>
      </c>
      <c r="G281" s="136">
        <v>4014</v>
      </c>
      <c r="H281" s="136"/>
      <c r="I281" s="136"/>
      <c r="J281" s="136"/>
      <c r="K281" s="136">
        <v>143781</v>
      </c>
      <c r="L281" s="136">
        <v>1636681</v>
      </c>
      <c r="M281" s="136">
        <v>82771</v>
      </c>
      <c r="N281" s="136"/>
      <c r="O281" s="136"/>
      <c r="P281" s="136"/>
      <c r="Q281" s="136">
        <v>78161</v>
      </c>
      <c r="R281" s="136">
        <v>757185</v>
      </c>
      <c r="S281" s="136">
        <v>44726</v>
      </c>
      <c r="T281" s="136">
        <v>64290</v>
      </c>
      <c r="U281" s="136">
        <v>1137682</v>
      </c>
      <c r="V281" s="136">
        <v>22482</v>
      </c>
      <c r="W281" s="136">
        <v>347349</v>
      </c>
      <c r="X281" s="136">
        <v>2710866</v>
      </c>
      <c r="Y281" s="136">
        <v>244569</v>
      </c>
      <c r="Z281" s="165"/>
      <c r="AA281" s="165"/>
      <c r="AB281" s="165"/>
      <c r="AC281" s="136">
        <v>16433</v>
      </c>
      <c r="AD281" s="136">
        <v>152974</v>
      </c>
      <c r="AE281" s="136">
        <v>11683</v>
      </c>
      <c r="AF281" s="136">
        <v>24190</v>
      </c>
      <c r="AG281" s="136">
        <v>168092</v>
      </c>
      <c r="AH281" s="136">
        <v>16844</v>
      </c>
      <c r="AI281" s="136"/>
      <c r="AJ281" s="136"/>
      <c r="AK281" s="136"/>
    </row>
    <row r="282" spans="1:37" x14ac:dyDescent="0.15">
      <c r="A282" s="219" t="s">
        <v>38</v>
      </c>
      <c r="B282" s="136">
        <v>160681</v>
      </c>
      <c r="C282" s="136">
        <v>1799677</v>
      </c>
      <c r="D282" s="136">
        <v>109905</v>
      </c>
      <c r="E282" s="136">
        <v>6366</v>
      </c>
      <c r="F282" s="136">
        <v>86010</v>
      </c>
      <c r="G282" s="136">
        <v>2548</v>
      </c>
      <c r="H282" s="136">
        <v>1195</v>
      </c>
      <c r="I282" s="136">
        <v>7220</v>
      </c>
      <c r="J282" s="136">
        <v>979</v>
      </c>
      <c r="K282" s="136">
        <v>144585</v>
      </c>
      <c r="L282" s="136">
        <v>3472493</v>
      </c>
      <c r="M282" s="136">
        <v>80801</v>
      </c>
      <c r="N282" s="136">
        <v>3563</v>
      </c>
      <c r="O282" s="136">
        <v>25293</v>
      </c>
      <c r="P282" s="136">
        <v>2011</v>
      </c>
      <c r="Q282" s="136">
        <v>53247</v>
      </c>
      <c r="R282" s="136">
        <v>377739</v>
      </c>
      <c r="S282" s="136">
        <v>34902</v>
      </c>
      <c r="T282" s="136">
        <v>74206</v>
      </c>
      <c r="U282" s="136">
        <v>1298537</v>
      </c>
      <c r="V282" s="136">
        <v>29103</v>
      </c>
      <c r="W282" s="136">
        <v>440891</v>
      </c>
      <c r="X282" s="136">
        <v>3202873</v>
      </c>
      <c r="Y282" s="136">
        <v>289997</v>
      </c>
      <c r="Z282" s="165"/>
      <c r="AA282" s="165"/>
      <c r="AB282" s="165"/>
      <c r="AC282" s="136">
        <v>19070</v>
      </c>
      <c r="AD282" s="136">
        <v>161490</v>
      </c>
      <c r="AE282" s="136">
        <v>13974</v>
      </c>
      <c r="AF282" s="136">
        <v>19878</v>
      </c>
      <c r="AG282" s="136">
        <v>111178</v>
      </c>
      <c r="AH282" s="136">
        <v>14634</v>
      </c>
      <c r="AI282" s="136">
        <v>155635</v>
      </c>
      <c r="AJ282" s="136">
        <v>921255</v>
      </c>
      <c r="AK282" s="136">
        <v>123204</v>
      </c>
    </row>
    <row r="283" spans="1:37" x14ac:dyDescent="0.15">
      <c r="A283" s="219" t="s">
        <v>39</v>
      </c>
      <c r="B283" s="136">
        <v>191478</v>
      </c>
      <c r="C283" s="136">
        <v>2205316</v>
      </c>
      <c r="D283" s="136">
        <v>129351</v>
      </c>
      <c r="E283" s="136">
        <v>16270</v>
      </c>
      <c r="F283" s="136">
        <v>184821</v>
      </c>
      <c r="G283" s="136">
        <v>8779</v>
      </c>
      <c r="H283" s="136">
        <v>2241</v>
      </c>
      <c r="I283" s="136">
        <v>13695</v>
      </c>
      <c r="J283" s="136">
        <v>1935</v>
      </c>
      <c r="K283" s="136">
        <v>155369</v>
      </c>
      <c r="L283" s="136">
        <v>5690078</v>
      </c>
      <c r="M283" s="136">
        <v>81529</v>
      </c>
      <c r="N283" s="136">
        <v>5044</v>
      </c>
      <c r="O283" s="136">
        <v>37090</v>
      </c>
      <c r="P283" s="136">
        <v>3477</v>
      </c>
      <c r="Q283" s="136">
        <v>35281</v>
      </c>
      <c r="R283" s="136">
        <v>251786</v>
      </c>
      <c r="S283" s="136">
        <v>23036</v>
      </c>
      <c r="T283" s="136">
        <v>87176</v>
      </c>
      <c r="U283" s="136">
        <v>1513257</v>
      </c>
      <c r="V283" s="136">
        <v>37412</v>
      </c>
      <c r="W283" s="136">
        <v>435375</v>
      </c>
      <c r="X283" s="136">
        <v>2700947</v>
      </c>
      <c r="Y283" s="136">
        <v>287305</v>
      </c>
      <c r="Z283" s="165"/>
      <c r="AA283" s="165"/>
      <c r="AB283" s="165"/>
      <c r="AC283" s="136">
        <v>18437</v>
      </c>
      <c r="AD283" s="136">
        <v>152661</v>
      </c>
      <c r="AE283" s="136">
        <v>13475</v>
      </c>
      <c r="AF283" s="136">
        <v>19897</v>
      </c>
      <c r="AG283" s="136">
        <v>103047</v>
      </c>
      <c r="AH283" s="136">
        <v>14808</v>
      </c>
      <c r="AI283" s="136">
        <v>142290</v>
      </c>
      <c r="AJ283" s="136">
        <v>801448</v>
      </c>
      <c r="AK283" s="136">
        <v>117837</v>
      </c>
    </row>
    <row r="284" spans="1:37" x14ac:dyDescent="0.15">
      <c r="A284" s="219" t="s">
        <v>40</v>
      </c>
      <c r="B284" s="136">
        <v>199316</v>
      </c>
      <c r="C284" s="136">
        <v>2420483</v>
      </c>
      <c r="D284" s="136">
        <v>139685</v>
      </c>
      <c r="E284" s="136">
        <v>13772</v>
      </c>
      <c r="F284" s="136">
        <v>177994</v>
      </c>
      <c r="G284" s="136">
        <v>5236</v>
      </c>
      <c r="H284" s="136">
        <v>2504</v>
      </c>
      <c r="I284" s="136">
        <v>57720</v>
      </c>
      <c r="J284" s="136">
        <v>2093</v>
      </c>
      <c r="K284" s="136">
        <v>191134</v>
      </c>
      <c r="L284" s="136">
        <v>7011266</v>
      </c>
      <c r="M284" s="136">
        <v>108531</v>
      </c>
      <c r="N284" s="136">
        <v>4566</v>
      </c>
      <c r="O284" s="136">
        <v>143683</v>
      </c>
      <c r="P284" s="136">
        <v>3092</v>
      </c>
      <c r="Q284" s="136">
        <v>94768</v>
      </c>
      <c r="R284" s="136">
        <v>915566</v>
      </c>
      <c r="S284" s="136">
        <v>64358</v>
      </c>
      <c r="T284" s="136">
        <v>230192</v>
      </c>
      <c r="U284" s="136">
        <v>3059401</v>
      </c>
      <c r="V284" s="136">
        <v>118902</v>
      </c>
      <c r="W284" s="136">
        <v>425601</v>
      </c>
      <c r="X284" s="136">
        <v>3745528</v>
      </c>
      <c r="Y284" s="136">
        <v>287337</v>
      </c>
      <c r="Z284" s="165"/>
      <c r="AA284" s="165"/>
      <c r="AB284" s="165"/>
      <c r="AC284" s="136">
        <v>11300</v>
      </c>
      <c r="AD284" s="136">
        <v>165812</v>
      </c>
      <c r="AE284" s="136">
        <v>8349</v>
      </c>
      <c r="AF284" s="136">
        <v>25614</v>
      </c>
      <c r="AG284" s="136">
        <v>205349</v>
      </c>
      <c r="AH284" s="136">
        <v>17425</v>
      </c>
      <c r="AI284" s="136">
        <v>119831</v>
      </c>
      <c r="AJ284" s="136">
        <v>714477</v>
      </c>
      <c r="AK284" s="136">
        <v>100968</v>
      </c>
    </row>
    <row r="285" spans="1:37" x14ac:dyDescent="0.15">
      <c r="A285" s="219" t="s">
        <v>41</v>
      </c>
      <c r="B285" s="136">
        <v>165200</v>
      </c>
      <c r="C285" s="136">
        <v>1743569</v>
      </c>
      <c r="D285" s="136">
        <v>106536</v>
      </c>
      <c r="E285" s="136">
        <v>13439</v>
      </c>
      <c r="F285" s="136">
        <v>124754</v>
      </c>
      <c r="G285" s="136">
        <v>7258</v>
      </c>
      <c r="H285" s="136">
        <v>5628</v>
      </c>
      <c r="I285" s="136">
        <v>108135</v>
      </c>
      <c r="J285" s="136">
        <v>4486</v>
      </c>
      <c r="K285" s="136">
        <v>214570</v>
      </c>
      <c r="L285" s="136">
        <v>7631590</v>
      </c>
      <c r="M285" s="136">
        <v>120292</v>
      </c>
      <c r="N285" s="136">
        <v>6236</v>
      </c>
      <c r="O285" s="136">
        <v>50572</v>
      </c>
      <c r="P285" s="136">
        <v>4606</v>
      </c>
      <c r="Q285" s="136">
        <v>205451</v>
      </c>
      <c r="R285" s="136">
        <v>1386094</v>
      </c>
      <c r="S285" s="136">
        <v>164546</v>
      </c>
      <c r="T285" s="136">
        <v>652612</v>
      </c>
      <c r="U285" s="136">
        <v>7811167</v>
      </c>
      <c r="V285" s="136">
        <v>343312</v>
      </c>
      <c r="W285" s="136">
        <v>536704</v>
      </c>
      <c r="X285" s="136">
        <v>3727105</v>
      </c>
      <c r="Y285" s="136">
        <v>356268</v>
      </c>
      <c r="Z285" s="165"/>
      <c r="AA285" s="165"/>
      <c r="AB285" s="165"/>
      <c r="AC285" s="136">
        <v>18181</v>
      </c>
      <c r="AD285" s="136">
        <v>103414</v>
      </c>
      <c r="AE285" s="136">
        <v>14448</v>
      </c>
      <c r="AF285" s="136">
        <v>28056</v>
      </c>
      <c r="AG285" s="136">
        <v>221636</v>
      </c>
      <c r="AH285" s="136">
        <v>19278</v>
      </c>
      <c r="AI285" s="136">
        <v>127843</v>
      </c>
      <c r="AJ285" s="136">
        <v>813099</v>
      </c>
      <c r="AK285" s="136">
        <v>107713</v>
      </c>
    </row>
    <row r="286" spans="1:37" x14ac:dyDescent="0.15">
      <c r="A286" s="219" t="s">
        <v>42</v>
      </c>
      <c r="B286" s="136">
        <v>159750</v>
      </c>
      <c r="C286" s="136">
        <v>1808786</v>
      </c>
      <c r="D286" s="136">
        <v>100981</v>
      </c>
      <c r="E286" s="136">
        <v>13782</v>
      </c>
      <c r="F286" s="136">
        <v>122536</v>
      </c>
      <c r="G286" s="136">
        <v>8039</v>
      </c>
      <c r="H286" s="136">
        <v>8326</v>
      </c>
      <c r="I286" s="136">
        <v>347006</v>
      </c>
      <c r="J286" s="136">
        <v>5414</v>
      </c>
      <c r="K286" s="136">
        <v>225553</v>
      </c>
      <c r="L286" s="136">
        <v>9735100</v>
      </c>
      <c r="M286" s="136">
        <v>125907</v>
      </c>
      <c r="N286" s="136">
        <v>7576</v>
      </c>
      <c r="O286" s="136">
        <v>62644</v>
      </c>
      <c r="P286" s="136">
        <v>5560</v>
      </c>
      <c r="Q286" s="136">
        <v>127574</v>
      </c>
      <c r="R286" s="136">
        <v>958322</v>
      </c>
      <c r="S286" s="136">
        <v>89098</v>
      </c>
      <c r="T286" s="136">
        <v>605342</v>
      </c>
      <c r="U286" s="136">
        <v>7137162</v>
      </c>
      <c r="V286" s="136">
        <v>310180</v>
      </c>
      <c r="W286" s="136">
        <v>629406</v>
      </c>
      <c r="X286" s="136">
        <v>3935194</v>
      </c>
      <c r="Y286" s="136">
        <v>416514</v>
      </c>
      <c r="Z286" s="165"/>
      <c r="AA286" s="165"/>
      <c r="AB286" s="165"/>
      <c r="AC286" s="136">
        <v>17118</v>
      </c>
      <c r="AD286" s="136">
        <v>89676</v>
      </c>
      <c r="AE286" s="136">
        <v>13493</v>
      </c>
      <c r="AF286" s="136">
        <v>28531</v>
      </c>
      <c r="AG286" s="136">
        <v>206051</v>
      </c>
      <c r="AH286" s="136">
        <v>19950</v>
      </c>
      <c r="AI286" s="136">
        <v>106840</v>
      </c>
      <c r="AJ286" s="136">
        <v>917822</v>
      </c>
      <c r="AK286" s="136">
        <v>87904</v>
      </c>
    </row>
    <row r="287" spans="1:37" x14ac:dyDescent="0.15">
      <c r="A287" s="219" t="s">
        <v>43</v>
      </c>
      <c r="B287" s="136">
        <v>47436</v>
      </c>
      <c r="C287" s="136">
        <v>483566</v>
      </c>
      <c r="D287" s="136">
        <v>31305</v>
      </c>
      <c r="E287" s="136">
        <v>20584</v>
      </c>
      <c r="F287" s="136">
        <v>142425</v>
      </c>
      <c r="G287" s="136">
        <v>13983</v>
      </c>
      <c r="H287" s="136">
        <v>6975</v>
      </c>
      <c r="I287" s="136">
        <v>122957</v>
      </c>
      <c r="J287" s="136">
        <v>4896</v>
      </c>
      <c r="K287" s="136">
        <v>217305</v>
      </c>
      <c r="L287" s="136">
        <v>10234228</v>
      </c>
      <c r="M287" s="136">
        <v>120646</v>
      </c>
      <c r="N287" s="136">
        <v>8071</v>
      </c>
      <c r="O287" s="136">
        <v>70567</v>
      </c>
      <c r="P287" s="136">
        <v>5858</v>
      </c>
      <c r="Q287" s="136">
        <v>119538</v>
      </c>
      <c r="R287" s="136">
        <v>744359</v>
      </c>
      <c r="S287" s="136">
        <v>86934</v>
      </c>
      <c r="T287" s="136">
        <v>466031</v>
      </c>
      <c r="U287" s="136">
        <v>5830786</v>
      </c>
      <c r="V287" s="136">
        <v>244340</v>
      </c>
      <c r="W287" s="136">
        <v>645434</v>
      </c>
      <c r="X287" s="136">
        <v>3629180</v>
      </c>
      <c r="Y287" s="136">
        <v>446833</v>
      </c>
      <c r="Z287" s="165"/>
      <c r="AA287" s="165"/>
      <c r="AB287" s="165"/>
      <c r="AC287" s="136">
        <v>18982</v>
      </c>
      <c r="AD287" s="136">
        <v>113142</v>
      </c>
      <c r="AE287" s="136">
        <v>14175</v>
      </c>
      <c r="AF287" s="136">
        <v>29876</v>
      </c>
      <c r="AG287" s="136">
        <v>200215</v>
      </c>
      <c r="AH287" s="136">
        <v>21105</v>
      </c>
      <c r="AI287" s="136">
        <v>107864</v>
      </c>
      <c r="AJ287" s="136">
        <v>895322</v>
      </c>
      <c r="AK287" s="136">
        <v>90311</v>
      </c>
    </row>
    <row r="288" spans="1:37" x14ac:dyDescent="0.15">
      <c r="A288" s="219" t="s">
        <v>45</v>
      </c>
      <c r="B288" s="136">
        <v>52864</v>
      </c>
      <c r="C288" s="136">
        <v>501339</v>
      </c>
      <c r="D288" s="136">
        <v>35782</v>
      </c>
      <c r="E288" s="136">
        <v>30739</v>
      </c>
      <c r="F288" s="136">
        <v>203901</v>
      </c>
      <c r="G288" s="136">
        <v>20779</v>
      </c>
      <c r="H288" s="136">
        <v>8284</v>
      </c>
      <c r="I288" s="136">
        <v>53139</v>
      </c>
      <c r="J288" s="136">
        <v>6574</v>
      </c>
      <c r="K288" s="136">
        <v>246689</v>
      </c>
      <c r="L288" s="136">
        <v>6004302</v>
      </c>
      <c r="M288" s="136">
        <v>141377</v>
      </c>
      <c r="N288" s="136">
        <v>10494</v>
      </c>
      <c r="O288" s="136">
        <v>102909</v>
      </c>
      <c r="P288" s="136">
        <v>7365</v>
      </c>
      <c r="Q288" s="136">
        <v>140454</v>
      </c>
      <c r="R288" s="136">
        <v>865811</v>
      </c>
      <c r="S288" s="136">
        <v>103590</v>
      </c>
      <c r="T288" s="136">
        <v>443373</v>
      </c>
      <c r="U288" s="136">
        <v>5429821</v>
      </c>
      <c r="V288" s="136">
        <v>232392</v>
      </c>
      <c r="W288" s="136">
        <v>729565</v>
      </c>
      <c r="X288" s="136">
        <v>4032173</v>
      </c>
      <c r="Y288" s="136">
        <v>505990</v>
      </c>
      <c r="Z288" s="165"/>
      <c r="AA288" s="165"/>
      <c r="AB288" s="165"/>
      <c r="AC288" s="136">
        <v>14071</v>
      </c>
      <c r="AD288" s="136">
        <v>97324</v>
      </c>
      <c r="AE288" s="136">
        <v>10766</v>
      </c>
      <c r="AF288" s="136">
        <v>37165</v>
      </c>
      <c r="AG288" s="136">
        <v>270832</v>
      </c>
      <c r="AH288" s="136">
        <v>23399</v>
      </c>
      <c r="AI288" s="136">
        <v>89576</v>
      </c>
      <c r="AJ288" s="136">
        <v>938136</v>
      </c>
      <c r="AK288" s="136">
        <v>73954</v>
      </c>
    </row>
    <row r="289" spans="1:37" x14ac:dyDescent="0.15">
      <c r="A289" s="219" t="s">
        <v>72</v>
      </c>
      <c r="B289" s="136">
        <v>55046</v>
      </c>
      <c r="C289" s="136">
        <v>542003</v>
      </c>
      <c r="D289" s="136">
        <v>38903</v>
      </c>
      <c r="E289" s="136">
        <v>65720</v>
      </c>
      <c r="F289" s="136">
        <v>295582</v>
      </c>
      <c r="G289" s="136">
        <v>41371</v>
      </c>
      <c r="H289" s="136">
        <v>10869</v>
      </c>
      <c r="I289" s="136">
        <v>64554</v>
      </c>
      <c r="J289" s="136">
        <v>8640</v>
      </c>
      <c r="K289" s="136">
        <v>206088</v>
      </c>
      <c r="L289" s="136">
        <v>2180301</v>
      </c>
      <c r="M289" s="136">
        <v>128457</v>
      </c>
      <c r="N289" s="136">
        <v>17347</v>
      </c>
      <c r="O289" s="136">
        <v>140576</v>
      </c>
      <c r="P289" s="136">
        <v>12048</v>
      </c>
      <c r="Q289" s="136">
        <v>189171</v>
      </c>
      <c r="R289" s="136">
        <v>1096949</v>
      </c>
      <c r="S289" s="136">
        <v>143345</v>
      </c>
      <c r="T289" s="136">
        <v>412847</v>
      </c>
      <c r="U289" s="136">
        <v>4971411</v>
      </c>
      <c r="V289" s="136">
        <v>220035</v>
      </c>
      <c r="W289" s="136">
        <v>766328</v>
      </c>
      <c r="X289" s="136">
        <v>3772779</v>
      </c>
      <c r="Y289" s="136">
        <v>524620</v>
      </c>
      <c r="Z289" s="165"/>
      <c r="AA289" s="165"/>
      <c r="AB289" s="165"/>
      <c r="AC289" s="136">
        <v>31846</v>
      </c>
      <c r="AD289" s="136">
        <v>275875</v>
      </c>
      <c r="AE289" s="136">
        <v>23530</v>
      </c>
      <c r="AF289" s="136">
        <v>36216</v>
      </c>
      <c r="AG289" s="136">
        <v>303768</v>
      </c>
      <c r="AH289" s="136">
        <v>25158</v>
      </c>
      <c r="AI289" s="136">
        <v>88746</v>
      </c>
      <c r="AJ289" s="136">
        <v>893022</v>
      </c>
      <c r="AK289" s="136">
        <v>72917</v>
      </c>
    </row>
    <row r="290" spans="1:37" x14ac:dyDescent="0.15">
      <c r="A290" s="220" t="s">
        <v>92</v>
      </c>
      <c r="B290" s="165">
        <v>58238</v>
      </c>
      <c r="C290" s="165">
        <v>551711</v>
      </c>
      <c r="D290" s="165">
        <v>40974</v>
      </c>
      <c r="E290" s="165">
        <v>108364</v>
      </c>
      <c r="F290" s="165">
        <v>388556</v>
      </c>
      <c r="G290" s="165">
        <v>70696</v>
      </c>
      <c r="H290" s="165">
        <v>14866</v>
      </c>
      <c r="I290" s="165">
        <v>96028</v>
      </c>
      <c r="J290" s="165">
        <v>11549</v>
      </c>
      <c r="K290" s="165">
        <v>190206</v>
      </c>
      <c r="L290" s="165">
        <v>1902393</v>
      </c>
      <c r="M290" s="165">
        <v>118779</v>
      </c>
      <c r="N290" s="165">
        <v>23160</v>
      </c>
      <c r="O290" s="165">
        <v>392057</v>
      </c>
      <c r="P290" s="165">
        <v>15823</v>
      </c>
      <c r="Q290" s="165">
        <v>195153</v>
      </c>
      <c r="R290" s="165">
        <v>1059513</v>
      </c>
      <c r="S290" s="165">
        <v>141014</v>
      </c>
      <c r="T290" s="165">
        <v>301594</v>
      </c>
      <c r="U290" s="165">
        <v>3294341</v>
      </c>
      <c r="V290" s="165">
        <v>169008</v>
      </c>
      <c r="W290" s="165">
        <v>857579</v>
      </c>
      <c r="X290" s="165">
        <v>4071275</v>
      </c>
      <c r="Y290" s="165">
        <v>572807</v>
      </c>
      <c r="Z290" s="165"/>
      <c r="AA290" s="165"/>
      <c r="AB290" s="165"/>
      <c r="AC290" s="165">
        <v>46518</v>
      </c>
      <c r="AD290" s="165">
        <v>454588</v>
      </c>
      <c r="AE290" s="165">
        <v>33545</v>
      </c>
      <c r="AF290" s="165">
        <v>39732</v>
      </c>
      <c r="AG290" s="165">
        <v>343100</v>
      </c>
      <c r="AH290" s="165">
        <v>27157</v>
      </c>
      <c r="AI290" s="165">
        <v>94980</v>
      </c>
      <c r="AJ290" s="165">
        <v>923167</v>
      </c>
      <c r="AK290" s="165">
        <v>78103</v>
      </c>
    </row>
    <row r="291" spans="1:37" x14ac:dyDescent="0.15">
      <c r="A291" s="219" t="s">
        <v>99</v>
      </c>
      <c r="B291" s="136">
        <v>67042</v>
      </c>
      <c r="C291" s="136">
        <v>818083</v>
      </c>
      <c r="D291" s="136">
        <v>49138</v>
      </c>
      <c r="E291" s="136">
        <v>161646</v>
      </c>
      <c r="F291" s="136">
        <v>551398</v>
      </c>
      <c r="G291" s="136">
        <v>106949</v>
      </c>
      <c r="H291" s="136">
        <v>25193</v>
      </c>
      <c r="I291" s="136">
        <v>276196</v>
      </c>
      <c r="J291" s="136">
        <v>19688</v>
      </c>
      <c r="K291" s="136">
        <v>150117</v>
      </c>
      <c r="L291" s="136">
        <v>2584212</v>
      </c>
      <c r="M291" s="136">
        <v>93299</v>
      </c>
      <c r="N291" s="136">
        <v>24485</v>
      </c>
      <c r="O291" s="136">
        <v>529075</v>
      </c>
      <c r="P291" s="136">
        <v>16568</v>
      </c>
      <c r="Q291" s="136">
        <v>209718</v>
      </c>
      <c r="R291" s="136">
        <v>1158426</v>
      </c>
      <c r="S291" s="136">
        <v>153371</v>
      </c>
      <c r="T291" s="136">
        <v>217721</v>
      </c>
      <c r="U291" s="136">
        <v>3095213</v>
      </c>
      <c r="V291" s="136">
        <v>136357</v>
      </c>
      <c r="W291" s="136">
        <v>798789</v>
      </c>
      <c r="X291" s="136">
        <v>3813884</v>
      </c>
      <c r="Y291" s="136">
        <v>541879</v>
      </c>
      <c r="Z291" s="165"/>
      <c r="AA291" s="165"/>
      <c r="AB291" s="165"/>
      <c r="AC291" s="136">
        <v>46775</v>
      </c>
      <c r="AD291" s="136">
        <v>637712</v>
      </c>
      <c r="AE291" s="136">
        <v>34391</v>
      </c>
      <c r="AF291" s="136">
        <v>40086</v>
      </c>
      <c r="AG291" s="136">
        <v>1354393</v>
      </c>
      <c r="AH291" s="136">
        <v>27758</v>
      </c>
      <c r="AI291" s="136">
        <v>103800</v>
      </c>
      <c r="AJ291" s="136">
        <v>1788088</v>
      </c>
      <c r="AK291" s="136">
        <v>83337</v>
      </c>
    </row>
    <row r="292" spans="1:37" x14ac:dyDescent="0.15">
      <c r="A292" s="299" t="s">
        <v>124</v>
      </c>
      <c r="B292" s="300">
        <v>47666</v>
      </c>
      <c r="C292" s="300">
        <v>556331</v>
      </c>
      <c r="D292" s="300">
        <v>45365</v>
      </c>
      <c r="E292" s="300">
        <v>227634</v>
      </c>
      <c r="F292" s="300">
        <v>831919</v>
      </c>
      <c r="G292" s="300">
        <v>134217</v>
      </c>
      <c r="H292" s="300">
        <v>27289</v>
      </c>
      <c r="I292" s="300">
        <v>157841</v>
      </c>
      <c r="J292" s="300">
        <v>20405</v>
      </c>
      <c r="K292" s="300">
        <v>135008</v>
      </c>
      <c r="L292" s="300">
        <v>1030437</v>
      </c>
      <c r="M292" s="300">
        <v>85292</v>
      </c>
      <c r="N292" s="300">
        <v>8500</v>
      </c>
      <c r="O292" s="300">
        <v>77387</v>
      </c>
      <c r="P292" s="300">
        <v>7398</v>
      </c>
      <c r="Q292" s="300">
        <v>217017</v>
      </c>
      <c r="R292" s="300">
        <v>1410082</v>
      </c>
      <c r="S292" s="300">
        <v>152381</v>
      </c>
      <c r="T292" s="300">
        <v>122447</v>
      </c>
      <c r="U292" s="300">
        <v>880907</v>
      </c>
      <c r="V292" s="300">
        <v>62430</v>
      </c>
      <c r="W292" s="300">
        <v>927701</v>
      </c>
      <c r="X292" s="300">
        <v>4242224</v>
      </c>
      <c r="Y292" s="300">
        <v>529431</v>
      </c>
      <c r="Z292" s="300"/>
      <c r="AA292" s="300"/>
      <c r="AB292" s="300"/>
      <c r="AC292" s="300">
        <v>61588</v>
      </c>
      <c r="AD292" s="300">
        <v>689021</v>
      </c>
      <c r="AE292" s="300">
        <v>45672</v>
      </c>
      <c r="AF292" s="300">
        <v>54854</v>
      </c>
      <c r="AG292" s="300">
        <v>358241</v>
      </c>
      <c r="AH292" s="300">
        <v>38963</v>
      </c>
      <c r="AI292" s="300">
        <v>116716</v>
      </c>
      <c r="AJ292" s="300">
        <v>1207528</v>
      </c>
      <c r="AK292" s="300">
        <v>92528</v>
      </c>
    </row>
    <row r="293" spans="1:37" x14ac:dyDescent="0.15">
      <c r="A293" s="301" t="s">
        <v>158</v>
      </c>
      <c r="B293" s="302">
        <v>37605</v>
      </c>
      <c r="C293" s="302">
        <v>410065</v>
      </c>
      <c r="D293" s="302">
        <v>45480</v>
      </c>
      <c r="E293" s="302">
        <v>111889</v>
      </c>
      <c r="F293" s="302">
        <v>447092</v>
      </c>
      <c r="G293" s="302">
        <v>102102</v>
      </c>
      <c r="H293" s="302">
        <v>31492</v>
      </c>
      <c r="I293" s="302">
        <v>245674</v>
      </c>
      <c r="J293" s="302">
        <v>24594</v>
      </c>
      <c r="K293" s="302">
        <v>248102</v>
      </c>
      <c r="L293" s="302">
        <v>1270592</v>
      </c>
      <c r="M293" s="302">
        <v>140161</v>
      </c>
      <c r="N293" s="302">
        <v>14333</v>
      </c>
      <c r="O293" s="302">
        <v>194039</v>
      </c>
      <c r="P293" s="302">
        <v>14343</v>
      </c>
      <c r="Q293" s="302">
        <v>175741</v>
      </c>
      <c r="R293" s="302">
        <v>1274426</v>
      </c>
      <c r="S293" s="302">
        <v>122443</v>
      </c>
      <c r="T293" s="302">
        <v>179846</v>
      </c>
      <c r="U293" s="302">
        <v>1336270</v>
      </c>
      <c r="V293" s="302">
        <v>82313</v>
      </c>
      <c r="W293" s="302">
        <v>767413</v>
      </c>
      <c r="X293" s="302">
        <v>3326216</v>
      </c>
      <c r="Y293" s="302">
        <v>426051</v>
      </c>
      <c r="Z293" s="302">
        <v>108762</v>
      </c>
      <c r="AA293" s="302">
        <v>1933043</v>
      </c>
      <c r="AB293" s="302">
        <v>64501</v>
      </c>
      <c r="AC293" s="302">
        <v>69470</v>
      </c>
      <c r="AD293" s="302">
        <v>614180</v>
      </c>
      <c r="AE293" s="302">
        <v>58128</v>
      </c>
      <c r="AF293" s="302">
        <v>59354</v>
      </c>
      <c r="AG293" s="302">
        <v>397802</v>
      </c>
      <c r="AH293" s="302">
        <v>39977</v>
      </c>
      <c r="AI293" s="302">
        <v>132816</v>
      </c>
      <c r="AJ293" s="302">
        <v>1290401</v>
      </c>
      <c r="AK293" s="302">
        <v>107117</v>
      </c>
    </row>
    <row r="294" spans="1:37" x14ac:dyDescent="0.15">
      <c r="A294" s="297" t="s">
        <v>170</v>
      </c>
      <c r="B294" s="298">
        <v>33355</v>
      </c>
      <c r="C294" s="298">
        <v>340844</v>
      </c>
      <c r="D294" s="298">
        <v>51095</v>
      </c>
      <c r="E294" s="298">
        <v>480179</v>
      </c>
      <c r="F294" s="298">
        <v>1230269</v>
      </c>
      <c r="G294" s="298">
        <v>327218</v>
      </c>
      <c r="H294" s="298">
        <v>97015</v>
      </c>
      <c r="I294" s="298">
        <v>1921102</v>
      </c>
      <c r="J294" s="298">
        <v>78998</v>
      </c>
      <c r="K294" s="298">
        <v>274957</v>
      </c>
      <c r="L294" s="298">
        <v>1488512</v>
      </c>
      <c r="M294" s="298">
        <v>190560</v>
      </c>
      <c r="N294" s="298">
        <v>16453</v>
      </c>
      <c r="O294" s="298">
        <v>205823</v>
      </c>
      <c r="P294" s="298">
        <v>16588</v>
      </c>
      <c r="Q294" s="298">
        <v>184383</v>
      </c>
      <c r="R294" s="298">
        <v>1298463</v>
      </c>
      <c r="S294" s="298">
        <v>150940</v>
      </c>
      <c r="T294" s="298">
        <v>233162</v>
      </c>
      <c r="U294" s="298">
        <v>1894087</v>
      </c>
      <c r="V294" s="298">
        <v>127712</v>
      </c>
      <c r="W294" s="298">
        <v>669496</v>
      </c>
      <c r="X294" s="298">
        <v>2872296</v>
      </c>
      <c r="Y294" s="298">
        <v>448288</v>
      </c>
      <c r="Z294" s="298">
        <v>133631</v>
      </c>
      <c r="AA294" s="298">
        <v>2113562</v>
      </c>
      <c r="AB294" s="298">
        <v>108303</v>
      </c>
      <c r="AC294" s="298">
        <v>68344</v>
      </c>
      <c r="AD294" s="298">
        <v>460733</v>
      </c>
      <c r="AE294" s="298">
        <v>61243</v>
      </c>
      <c r="AF294" s="298">
        <v>52948</v>
      </c>
      <c r="AG294" s="298">
        <v>359113</v>
      </c>
      <c r="AH294" s="298">
        <v>54355</v>
      </c>
      <c r="AI294" s="298">
        <v>136290</v>
      </c>
      <c r="AJ294" s="298">
        <v>1208305</v>
      </c>
      <c r="AK294" s="298">
        <v>114834</v>
      </c>
    </row>
    <row r="295" spans="1:37" x14ac:dyDescent="0.15">
      <c r="A295" s="147" t="s">
        <v>54</v>
      </c>
      <c r="B295" s="141">
        <f>SUM(B280:B294)</f>
        <v>1547259</v>
      </c>
      <c r="C295" s="141">
        <f t="shared" ref="C295:O295" si="144">SUM(C280:C294)</f>
        <v>17189202</v>
      </c>
      <c r="D295" s="141">
        <f t="shared" si="144"/>
        <v>1105297</v>
      </c>
      <c r="E295" s="141">
        <f t="shared" si="144"/>
        <v>1278129</v>
      </c>
      <c r="F295" s="141">
        <f t="shared" si="144"/>
        <v>4873663</v>
      </c>
      <c r="G295" s="141">
        <f t="shared" si="144"/>
        <v>853189</v>
      </c>
      <c r="H295" s="141">
        <f t="shared" si="144"/>
        <v>241877</v>
      </c>
      <c r="I295" s="141">
        <f t="shared" si="144"/>
        <v>3471267</v>
      </c>
      <c r="J295" s="141">
        <f t="shared" si="144"/>
        <v>190251</v>
      </c>
      <c r="K295" s="141">
        <f t="shared" si="144"/>
        <v>2884635</v>
      </c>
      <c r="L295" s="141">
        <f t="shared" si="144"/>
        <v>63479222</v>
      </c>
      <c r="M295" s="141">
        <f t="shared" si="144"/>
        <v>1697350</v>
      </c>
      <c r="N295" s="141">
        <f t="shared" si="144"/>
        <v>149828</v>
      </c>
      <c r="O295" s="141">
        <f t="shared" si="144"/>
        <v>2031715</v>
      </c>
      <c r="P295" s="141">
        <f>SUM(P280:P294)</f>
        <v>114737</v>
      </c>
      <c r="Q295" s="141">
        <f t="shared" ref="Q295" si="145">SUM(Q280:Q294)</f>
        <v>2099850</v>
      </c>
      <c r="R295" s="141">
        <f t="shared" ref="R295" si="146">SUM(R280:R294)</f>
        <v>14290658</v>
      </c>
      <c r="S295" s="141">
        <f t="shared" ref="S295" si="147">SUM(S280:S294)</f>
        <v>1516675</v>
      </c>
      <c r="T295" s="141">
        <f t="shared" ref="T295" si="148">SUM(T280:T294)</f>
        <v>4144413</v>
      </c>
      <c r="U295" s="141">
        <f t="shared" ref="U295" si="149">SUM(U280:U294)</f>
        <v>49669980</v>
      </c>
      <c r="V295" s="141">
        <f t="shared" ref="V295" si="150">SUM(V280:V294)</f>
        <v>2153718</v>
      </c>
      <c r="W295" s="141">
        <f t="shared" ref="W295" si="151">SUM(W280:W294)</f>
        <v>9235277</v>
      </c>
      <c r="X295" s="141">
        <f t="shared" ref="X295" si="152">SUM(X280:X294)</f>
        <v>52068287</v>
      </c>
      <c r="Y295" s="141">
        <f t="shared" ref="Y295" si="153">SUM(Y280:Y294)</f>
        <v>6065214</v>
      </c>
      <c r="Z295" s="141">
        <f>SUM(Z280:Z294)</f>
        <v>242393</v>
      </c>
      <c r="AA295" s="141">
        <f t="shared" ref="AA295" si="154">SUM(AA280:AA294)</f>
        <v>4046605</v>
      </c>
      <c r="AB295" s="141">
        <f t="shared" ref="AB295" si="155">SUM(AB280:AB294)</f>
        <v>172804</v>
      </c>
      <c r="AC295" s="141">
        <f t="shared" ref="AC295" si="156">SUM(AC280:AC294)</f>
        <v>469375</v>
      </c>
      <c r="AD295" s="141">
        <f t="shared" ref="AD295" si="157">SUM(AD280:AD294)</f>
        <v>4285879</v>
      </c>
      <c r="AE295" s="141">
        <f t="shared" ref="AE295" si="158">SUM(AE280:AE294)</f>
        <v>364729</v>
      </c>
      <c r="AF295" s="141">
        <f t="shared" ref="AF295" si="159">SUM(AF280:AF294)</f>
        <v>540119</v>
      </c>
      <c r="AG295" s="141">
        <f t="shared" ref="AG295" si="160">SUM(AG280:AG294)</f>
        <v>5082571</v>
      </c>
      <c r="AH295" s="141">
        <f t="shared" ref="AH295" si="161">SUM(AH280:AH294)</f>
        <v>385559</v>
      </c>
      <c r="AI295" s="141">
        <f t="shared" ref="AI295" si="162">SUM(AI280:AI294)</f>
        <v>1523227</v>
      </c>
      <c r="AJ295" s="141">
        <f t="shared" ref="AJ295" si="163">SUM(AJ280:AJ294)</f>
        <v>13312070</v>
      </c>
      <c r="AK295" s="141">
        <f t="shared" ref="AK295" si="164">SUM(AK280:AK294)</f>
        <v>1250727</v>
      </c>
    </row>
    <row r="302" spans="1:37" x14ac:dyDescent="0.15">
      <c r="A302" s="35" t="s">
        <v>109</v>
      </c>
    </row>
  </sheetData>
  <mergeCells count="33">
    <mergeCell ref="AF278:AH278"/>
    <mergeCell ref="AI278:AK278"/>
    <mergeCell ref="B278:D278"/>
    <mergeCell ref="E278:G278"/>
    <mergeCell ref="H278:J278"/>
    <mergeCell ref="K278:M278"/>
    <mergeCell ref="N278:P278"/>
    <mergeCell ref="Q278:S278"/>
    <mergeCell ref="T278:V278"/>
    <mergeCell ref="W278:Y278"/>
    <mergeCell ref="Z278:AB278"/>
    <mergeCell ref="AC278:AE278"/>
    <mergeCell ref="AC240:AE240"/>
    <mergeCell ref="AF240:AH240"/>
    <mergeCell ref="N240:P240"/>
    <mergeCell ref="Q240:S240"/>
    <mergeCell ref="T240:V240"/>
    <mergeCell ref="W240:Y240"/>
    <mergeCell ref="Z240:AB240"/>
    <mergeCell ref="B225:M225"/>
    <mergeCell ref="B241:M241"/>
    <mergeCell ref="A172:H172"/>
    <mergeCell ref="A155:M155"/>
    <mergeCell ref="B258:D258"/>
    <mergeCell ref="E258:G258"/>
    <mergeCell ref="H258:J258"/>
    <mergeCell ref="K258:M258"/>
    <mergeCell ref="B139:M139"/>
    <mergeCell ref="B19:M19"/>
    <mergeCell ref="B35:M35"/>
    <mergeCell ref="B71:M71"/>
    <mergeCell ref="B87:M87"/>
    <mergeCell ref="B123:M123"/>
  </mergeCells>
  <pageMargins left="0.75" right="0.75" top="1" bottom="1" header="0.5" footer="0.5"/>
  <pageSetup scale="75" orientation="landscape" r:id="rId1"/>
  <headerFooter alignWithMargins="0"/>
  <ignoredErrors>
    <ignoredError sqref="I118 G118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W35"/>
  <sheetViews>
    <sheetView zoomScale="130" zoomScaleNormal="130" workbookViewId="0">
      <selection activeCell="C34" sqref="C34"/>
    </sheetView>
  </sheetViews>
  <sheetFormatPr baseColWidth="10" defaultColWidth="8.83203125" defaultRowHeight="13" x14ac:dyDescent="0.15"/>
  <cols>
    <col min="1" max="1" width="6" customWidth="1"/>
    <col min="2" max="5" width="15.6640625" customWidth="1"/>
    <col min="6" max="6" width="20.1640625" customWidth="1"/>
    <col min="7" max="7" width="13.33203125" customWidth="1"/>
    <col min="8" max="8" width="21.1640625" customWidth="1"/>
    <col min="9" max="10" width="11.33203125" customWidth="1"/>
    <col min="11" max="11" width="12.5" customWidth="1"/>
    <col min="12" max="12" width="14.33203125" customWidth="1"/>
    <col min="13" max="13" width="11.33203125" customWidth="1"/>
    <col min="14" max="15" width="14.5" customWidth="1"/>
    <col min="16" max="16" width="14" customWidth="1"/>
    <col min="17" max="17" width="10.33203125" bestFit="1" customWidth="1"/>
    <col min="18" max="18" width="15" bestFit="1" customWidth="1"/>
    <col min="23" max="23" width="19.1640625" customWidth="1"/>
  </cols>
  <sheetData>
    <row r="1" spans="2:23" ht="39" customHeight="1" x14ac:dyDescent="0.15">
      <c r="B1" s="403" t="s">
        <v>86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</row>
    <row r="2" spans="2:23" ht="42" customHeight="1" x14ac:dyDescent="0.15"/>
    <row r="3" spans="2:23" ht="26.25" customHeight="1" x14ac:dyDescent="0.15">
      <c r="B3" s="92" t="s">
        <v>36</v>
      </c>
      <c r="C3" s="207" t="s">
        <v>19</v>
      </c>
      <c r="D3" s="257" t="s">
        <v>152</v>
      </c>
      <c r="E3" s="91" t="s">
        <v>145</v>
      </c>
      <c r="F3" s="207" t="s">
        <v>20</v>
      </c>
      <c r="G3" s="259" t="s">
        <v>146</v>
      </c>
      <c r="H3" s="207" t="s">
        <v>144</v>
      </c>
      <c r="I3" s="259" t="s">
        <v>153</v>
      </c>
      <c r="J3" s="207" t="s">
        <v>154</v>
      </c>
      <c r="K3" s="91" t="s">
        <v>160</v>
      </c>
      <c r="L3" s="91" t="s">
        <v>161</v>
      </c>
      <c r="M3" s="91" t="s">
        <v>21</v>
      </c>
      <c r="N3" s="91" t="s">
        <v>87</v>
      </c>
      <c r="O3" s="91" t="s">
        <v>162</v>
      </c>
      <c r="P3" s="91" t="s">
        <v>164</v>
      </c>
      <c r="Q3" s="94" t="s">
        <v>22</v>
      </c>
      <c r="R3" s="94" t="s">
        <v>23</v>
      </c>
      <c r="S3" s="94" t="s">
        <v>24</v>
      </c>
    </row>
    <row r="4" spans="2:23" x14ac:dyDescent="0.15">
      <c r="B4" s="101" t="s">
        <v>81</v>
      </c>
      <c r="C4" s="169">
        <v>765</v>
      </c>
      <c r="D4" s="258"/>
      <c r="E4" s="100">
        <v>537745</v>
      </c>
      <c r="F4" s="169">
        <v>4387</v>
      </c>
      <c r="G4" s="260"/>
      <c r="H4" s="165">
        <f>E4+F4</f>
        <v>542132</v>
      </c>
      <c r="I4" s="258"/>
      <c r="J4" s="100">
        <v>652966</v>
      </c>
      <c r="K4" s="162">
        <v>104.51589600000001</v>
      </c>
      <c r="L4" s="162">
        <v>2452.103110741647</v>
      </c>
      <c r="M4" s="164">
        <f>L4/365</f>
        <v>6.7180907143606765</v>
      </c>
      <c r="N4" s="161">
        <f>L4/1024</f>
        <v>2.3946319440836397</v>
      </c>
      <c r="O4" s="162">
        <v>1874.89</v>
      </c>
      <c r="P4" s="163">
        <v>79.290000000000006</v>
      </c>
      <c r="Q4" s="161">
        <f>C20</f>
        <v>125.12</v>
      </c>
      <c r="R4" s="161">
        <f>C35</f>
        <v>2287.2350702581357</v>
      </c>
      <c r="S4" s="164">
        <f>R4/365</f>
        <v>6.2663974527620159</v>
      </c>
    </row>
    <row r="5" spans="2:23" x14ac:dyDescent="0.15">
      <c r="B5" s="226" t="s">
        <v>112</v>
      </c>
      <c r="C5" s="226" t="s">
        <v>134</v>
      </c>
      <c r="D5" s="226" t="s">
        <v>110</v>
      </c>
      <c r="E5" s="226"/>
      <c r="F5" s="226" t="s">
        <v>135</v>
      </c>
      <c r="G5" s="227"/>
      <c r="H5" s="227"/>
      <c r="I5" s="226" t="s">
        <v>110</v>
      </c>
      <c r="J5" s="226"/>
      <c r="K5" s="226" t="s">
        <v>111</v>
      </c>
      <c r="L5" s="226" t="s">
        <v>111</v>
      </c>
      <c r="M5" s="225"/>
      <c r="N5" s="225"/>
      <c r="O5" s="226" t="s">
        <v>128</v>
      </c>
      <c r="P5" s="226" t="s">
        <v>128</v>
      </c>
      <c r="Q5" s="225"/>
      <c r="R5" s="225"/>
      <c r="S5" s="225"/>
      <c r="T5" s="225"/>
      <c r="U5" s="225"/>
      <c r="V5" s="225"/>
      <c r="W5" s="225"/>
    </row>
    <row r="6" spans="2:23" x14ac:dyDescent="0.15">
      <c r="B6" s="3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</row>
    <row r="7" spans="2:23" x14ac:dyDescent="0.15">
      <c r="B7" s="102" t="s">
        <v>66</v>
      </c>
      <c r="C7" s="110"/>
      <c r="D7" s="110"/>
      <c r="E7" s="110"/>
      <c r="F7" s="110"/>
      <c r="G7" s="110"/>
      <c r="H7" s="110"/>
      <c r="I7" s="109"/>
      <c r="J7" s="109"/>
      <c r="K7" s="109"/>
      <c r="L7" s="110"/>
      <c r="M7" s="109"/>
      <c r="N7" s="109"/>
      <c r="O7" s="109"/>
      <c r="P7" s="110"/>
      <c r="Q7" s="110"/>
      <c r="R7" s="110"/>
      <c r="S7" s="110"/>
    </row>
    <row r="8" spans="2:23" x14ac:dyDescent="0.15">
      <c r="B8" s="92" t="s">
        <v>47</v>
      </c>
      <c r="C8" s="114" t="s">
        <v>81</v>
      </c>
      <c r="D8" s="39"/>
      <c r="E8" s="39"/>
      <c r="F8" s="110"/>
      <c r="G8" s="111"/>
      <c r="H8" s="111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</row>
    <row r="9" spans="2:23" ht="14" x14ac:dyDescent="0.15">
      <c r="B9" s="216" t="s">
        <v>39</v>
      </c>
      <c r="C9" s="215">
        <v>17.264521999999999</v>
      </c>
      <c r="D9" s="112"/>
      <c r="E9" s="112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</row>
    <row r="10" spans="2:23" ht="14" x14ac:dyDescent="0.15">
      <c r="B10" s="216" t="s">
        <v>40</v>
      </c>
      <c r="C10" s="215">
        <v>22.105111999999998</v>
      </c>
      <c r="D10" s="112"/>
      <c r="E10" s="112"/>
      <c r="F10" s="110"/>
      <c r="G10" s="110"/>
      <c r="H10" s="110"/>
      <c r="I10" s="110"/>
      <c r="J10" s="110"/>
      <c r="K10" s="110"/>
      <c r="L10" s="110"/>
      <c r="M10" s="110"/>
      <c r="N10" s="113"/>
      <c r="O10" s="110"/>
      <c r="P10" s="110"/>
      <c r="Q10" s="110"/>
      <c r="R10" s="110"/>
      <c r="S10" s="110"/>
    </row>
    <row r="11" spans="2:23" ht="14" x14ac:dyDescent="0.15">
      <c r="B11" s="216" t="s">
        <v>41</v>
      </c>
      <c r="C11" s="215">
        <v>65.958472999999998</v>
      </c>
      <c r="D11" s="112"/>
      <c r="E11" s="112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2:23" ht="14" x14ac:dyDescent="0.15">
      <c r="B12" s="216" t="s">
        <v>42</v>
      </c>
      <c r="C12" s="215">
        <v>89.748705000000001</v>
      </c>
      <c r="D12" s="112"/>
      <c r="E12" s="112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</row>
    <row r="13" spans="2:23" ht="14" x14ac:dyDescent="0.15">
      <c r="B13" s="216" t="s">
        <v>43</v>
      </c>
      <c r="C13" s="215">
        <v>69.865531000000004</v>
      </c>
      <c r="D13" s="112"/>
      <c r="E13" s="112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2:23" ht="14" x14ac:dyDescent="0.15">
      <c r="B14" s="216" t="s">
        <v>45</v>
      </c>
      <c r="C14" s="215">
        <v>72.539675000000003</v>
      </c>
      <c r="D14" s="112"/>
      <c r="E14" s="112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</row>
    <row r="15" spans="2:23" ht="14" x14ac:dyDescent="0.15">
      <c r="B15" s="216" t="s">
        <v>72</v>
      </c>
      <c r="C15" s="215">
        <v>76.3</v>
      </c>
      <c r="D15" s="112"/>
      <c r="E15" s="112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</row>
    <row r="16" spans="2:23" ht="14" x14ac:dyDescent="0.15">
      <c r="B16" s="216" t="s">
        <v>92</v>
      </c>
      <c r="C16" s="215">
        <v>123.179919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</row>
    <row r="17" spans="1:21" s="3" customFormat="1" ht="14" x14ac:dyDescent="0.15">
      <c r="A17"/>
      <c r="B17" s="216" t="s">
        <v>99</v>
      </c>
      <c r="C17" s="215">
        <v>134.37852100000001</v>
      </c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U17"/>
    </row>
    <row r="18" spans="1:21" s="3" customFormat="1" ht="14" x14ac:dyDescent="0.15">
      <c r="A18"/>
      <c r="B18" s="217" t="s">
        <v>124</v>
      </c>
      <c r="C18" s="218">
        <v>90.093598999999998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U18"/>
    </row>
    <row r="19" spans="1:21" s="3" customFormat="1" ht="14" x14ac:dyDescent="0.15">
      <c r="A19"/>
      <c r="B19" s="254" t="s">
        <v>158</v>
      </c>
      <c r="C19" s="255">
        <v>90.904066</v>
      </c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U19"/>
    </row>
    <row r="20" spans="1:21" s="3" customFormat="1" ht="14" x14ac:dyDescent="0.15">
      <c r="A20"/>
      <c r="B20" s="280" t="s">
        <v>170</v>
      </c>
      <c r="C20" s="281">
        <v>125.12</v>
      </c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U20"/>
    </row>
    <row r="21" spans="1:21" s="3" customFormat="1" x14ac:dyDescent="0.15">
      <c r="A21"/>
      <c r="B21"/>
      <c r="C21" s="110"/>
      <c r="D21" s="39"/>
      <c r="E21" s="39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U21"/>
    </row>
    <row r="22" spans="1:21" s="3" customFormat="1" ht="14" x14ac:dyDescent="0.15">
      <c r="A22"/>
      <c r="B22" s="37" t="s">
        <v>23</v>
      </c>
      <c r="C22" s="110"/>
      <c r="D22" s="113"/>
      <c r="E22" s="113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U22"/>
    </row>
    <row r="23" spans="1:21" x14ac:dyDescent="0.15">
      <c r="B23" s="92" t="s">
        <v>47</v>
      </c>
      <c r="C23" s="114" t="s">
        <v>81</v>
      </c>
      <c r="D23" s="113"/>
      <c r="E23" s="113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21" ht="14" x14ac:dyDescent="0.15">
      <c r="B24" s="216" t="s">
        <v>39</v>
      </c>
      <c r="C24" s="161">
        <v>239.357451171875</v>
      </c>
      <c r="D24" s="113"/>
      <c r="E24" s="113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21" ht="14" x14ac:dyDescent="0.15">
      <c r="B25" s="216" t="s">
        <v>40</v>
      </c>
      <c r="C25" s="161">
        <v>475.84899414062494</v>
      </c>
      <c r="D25" s="113"/>
      <c r="E25" s="113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21" ht="14" x14ac:dyDescent="0.15">
      <c r="B26" s="216" t="s">
        <v>41</v>
      </c>
      <c r="C26" s="161">
        <v>833.81921875</v>
      </c>
      <c r="D26" s="113"/>
      <c r="E26" s="113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21" ht="14" x14ac:dyDescent="0.15">
      <c r="B27" s="216" t="s">
        <v>42</v>
      </c>
      <c r="C27" s="161">
        <v>856.63578125000004</v>
      </c>
      <c r="D27" s="113"/>
      <c r="E27" s="113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21" ht="14" x14ac:dyDescent="0.15">
      <c r="B28" s="216" t="s">
        <v>43</v>
      </c>
      <c r="C28" s="161">
        <v>891.62641206054695</v>
      </c>
      <c r="D28" s="112"/>
      <c r="E28" s="112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</row>
    <row r="29" spans="1:21" ht="14" x14ac:dyDescent="0.15">
      <c r="B29" s="216" t="s">
        <v>45</v>
      </c>
      <c r="C29" s="161">
        <v>786.36682507619889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</row>
    <row r="30" spans="1:21" ht="14" x14ac:dyDescent="0.15">
      <c r="B30" s="216" t="s">
        <v>72</v>
      </c>
      <c r="C30" s="215">
        <v>763.04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</row>
    <row r="31" spans="1:21" ht="14" x14ac:dyDescent="0.15">
      <c r="B31" s="216" t="s">
        <v>92</v>
      </c>
      <c r="C31" s="215">
        <v>889.13361675249939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</row>
    <row r="32" spans="1:21" ht="14" x14ac:dyDescent="0.15">
      <c r="B32" s="216" t="s">
        <v>99</v>
      </c>
      <c r="C32" s="215">
        <v>874.06199730241701</v>
      </c>
    </row>
    <row r="33" spans="2:3" ht="14" x14ac:dyDescent="0.15">
      <c r="B33" s="217" t="s">
        <v>124</v>
      </c>
      <c r="C33" s="218">
        <v>842.38937777741194</v>
      </c>
    </row>
    <row r="34" spans="2:3" ht="14" x14ac:dyDescent="0.15">
      <c r="B34" s="256" t="s">
        <v>158</v>
      </c>
      <c r="C34" s="38">
        <v>954.39680382275969</v>
      </c>
    </row>
    <row r="35" spans="2:3" ht="14" x14ac:dyDescent="0.15">
      <c r="B35" s="279" t="s">
        <v>170</v>
      </c>
      <c r="C35" s="278">
        <v>2287.2350702581357</v>
      </c>
    </row>
  </sheetData>
  <mergeCells count="1">
    <mergeCell ref="B1:R1"/>
  </mergeCells>
  <pageMargins left="0.75" right="0.75" top="1" bottom="1" header="0.5" footer="0.5"/>
  <pageSetup scale="7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K317"/>
  <sheetViews>
    <sheetView zoomScale="160" zoomScaleNormal="160" workbookViewId="0">
      <selection activeCell="A171" sqref="A171:C171"/>
    </sheetView>
  </sheetViews>
  <sheetFormatPr baseColWidth="10" defaultColWidth="8.83203125" defaultRowHeight="13" x14ac:dyDescent="0.15"/>
  <cols>
    <col min="1" max="1" width="8.83203125" style="72"/>
    <col min="2" max="2" width="12.6640625" style="72" customWidth="1"/>
    <col min="3" max="3" width="12.1640625" style="72" customWidth="1"/>
    <col min="4" max="4" width="11.5" style="72" customWidth="1"/>
    <col min="5" max="5" width="12.33203125" style="72" customWidth="1"/>
    <col min="6" max="6" width="11.5" style="72" customWidth="1"/>
    <col min="7" max="8" width="8.83203125" style="72"/>
    <col min="9" max="9" width="11.1640625" style="72" bestFit="1" customWidth="1"/>
    <col min="10" max="235" width="8.83203125" style="72"/>
    <col min="236" max="236" width="14.5" style="72" customWidth="1"/>
    <col min="237" max="237" width="16.5" style="72" customWidth="1"/>
    <col min="238" max="238" width="14.5" style="72" customWidth="1"/>
    <col min="239" max="241" width="8.83203125" style="72"/>
    <col min="242" max="242" width="10.33203125" style="72" bestFit="1" customWidth="1"/>
    <col min="243" max="243" width="10.1640625" style="72" customWidth="1"/>
    <col min="244" max="244" width="11.5" style="72" customWidth="1"/>
    <col min="245" max="245" width="11" style="72" customWidth="1"/>
    <col min="246" max="246" width="6.33203125" style="72" customWidth="1"/>
    <col min="247" max="247" width="11.33203125" style="72" customWidth="1"/>
    <col min="248" max="248" width="14.6640625" style="72" bestFit="1" customWidth="1"/>
    <col min="249" max="491" width="8.83203125" style="72"/>
    <col min="492" max="492" width="14.5" style="72" customWidth="1"/>
    <col min="493" max="493" width="16.5" style="72" customWidth="1"/>
    <col min="494" max="494" width="14.5" style="72" customWidth="1"/>
    <col min="495" max="497" width="8.83203125" style="72"/>
    <col min="498" max="498" width="10.33203125" style="72" bestFit="1" customWidth="1"/>
    <col min="499" max="499" width="10.1640625" style="72" customWidth="1"/>
    <col min="500" max="500" width="11.5" style="72" customWidth="1"/>
    <col min="501" max="501" width="11" style="72" customWidth="1"/>
    <col min="502" max="502" width="6.33203125" style="72" customWidth="1"/>
    <col min="503" max="503" width="11.33203125" style="72" customWidth="1"/>
    <col min="504" max="504" width="14.6640625" style="72" bestFit="1" customWidth="1"/>
    <col min="505" max="747" width="8.83203125" style="72"/>
    <col min="748" max="748" width="14.5" style="72" customWidth="1"/>
    <col min="749" max="749" width="16.5" style="72" customWidth="1"/>
    <col min="750" max="750" width="14.5" style="72" customWidth="1"/>
    <col min="751" max="753" width="8.83203125" style="72"/>
    <col min="754" max="754" width="10.33203125" style="72" bestFit="1" customWidth="1"/>
    <col min="755" max="755" width="10.1640625" style="72" customWidth="1"/>
    <col min="756" max="756" width="11.5" style="72" customWidth="1"/>
    <col min="757" max="757" width="11" style="72" customWidth="1"/>
    <col min="758" max="758" width="6.33203125" style="72" customWidth="1"/>
    <col min="759" max="759" width="11.33203125" style="72" customWidth="1"/>
    <col min="760" max="760" width="14.6640625" style="72" bestFit="1" customWidth="1"/>
    <col min="761" max="1003" width="8.83203125" style="72"/>
    <col min="1004" max="1004" width="14.5" style="72" customWidth="1"/>
    <col min="1005" max="1005" width="16.5" style="72" customWidth="1"/>
    <col min="1006" max="1006" width="14.5" style="72" customWidth="1"/>
    <col min="1007" max="1009" width="8.83203125" style="72"/>
    <col min="1010" max="1010" width="10.33203125" style="72" bestFit="1" customWidth="1"/>
    <col min="1011" max="1011" width="10.1640625" style="72" customWidth="1"/>
    <col min="1012" max="1012" width="11.5" style="72" customWidth="1"/>
    <col min="1013" max="1013" width="11" style="72" customWidth="1"/>
    <col min="1014" max="1014" width="6.33203125" style="72" customWidth="1"/>
    <col min="1015" max="1015" width="11.33203125" style="72" customWidth="1"/>
    <col min="1016" max="1016" width="14.6640625" style="72" bestFit="1" customWidth="1"/>
    <col min="1017" max="1259" width="8.83203125" style="72"/>
    <col min="1260" max="1260" width="14.5" style="72" customWidth="1"/>
    <col min="1261" max="1261" width="16.5" style="72" customWidth="1"/>
    <col min="1262" max="1262" width="14.5" style="72" customWidth="1"/>
    <col min="1263" max="1265" width="8.83203125" style="72"/>
    <col min="1266" max="1266" width="10.33203125" style="72" bestFit="1" customWidth="1"/>
    <col min="1267" max="1267" width="10.1640625" style="72" customWidth="1"/>
    <col min="1268" max="1268" width="11.5" style="72" customWidth="1"/>
    <col min="1269" max="1269" width="11" style="72" customWidth="1"/>
    <col min="1270" max="1270" width="6.33203125" style="72" customWidth="1"/>
    <col min="1271" max="1271" width="11.33203125" style="72" customWidth="1"/>
    <col min="1272" max="1272" width="14.6640625" style="72" bestFit="1" customWidth="1"/>
    <col min="1273" max="1515" width="8.83203125" style="72"/>
    <col min="1516" max="1516" width="14.5" style="72" customWidth="1"/>
    <col min="1517" max="1517" width="16.5" style="72" customWidth="1"/>
    <col min="1518" max="1518" width="14.5" style="72" customWidth="1"/>
    <col min="1519" max="1521" width="8.83203125" style="72"/>
    <col min="1522" max="1522" width="10.33203125" style="72" bestFit="1" customWidth="1"/>
    <col min="1523" max="1523" width="10.1640625" style="72" customWidth="1"/>
    <col min="1524" max="1524" width="11.5" style="72" customWidth="1"/>
    <col min="1525" max="1525" width="11" style="72" customWidth="1"/>
    <col min="1526" max="1526" width="6.33203125" style="72" customWidth="1"/>
    <col min="1527" max="1527" width="11.33203125" style="72" customWidth="1"/>
    <col min="1528" max="1528" width="14.6640625" style="72" bestFit="1" customWidth="1"/>
    <col min="1529" max="1771" width="8.83203125" style="72"/>
    <col min="1772" max="1772" width="14.5" style="72" customWidth="1"/>
    <col min="1773" max="1773" width="16.5" style="72" customWidth="1"/>
    <col min="1774" max="1774" width="14.5" style="72" customWidth="1"/>
    <col min="1775" max="1777" width="8.83203125" style="72"/>
    <col min="1778" max="1778" width="10.33203125" style="72" bestFit="1" customWidth="1"/>
    <col min="1779" max="1779" width="10.1640625" style="72" customWidth="1"/>
    <col min="1780" max="1780" width="11.5" style="72" customWidth="1"/>
    <col min="1781" max="1781" width="11" style="72" customWidth="1"/>
    <col min="1782" max="1782" width="6.33203125" style="72" customWidth="1"/>
    <col min="1783" max="1783" width="11.33203125" style="72" customWidth="1"/>
    <col min="1784" max="1784" width="14.6640625" style="72" bestFit="1" customWidth="1"/>
    <col min="1785" max="2027" width="8.83203125" style="72"/>
    <col min="2028" max="2028" width="14.5" style="72" customWidth="1"/>
    <col min="2029" max="2029" width="16.5" style="72" customWidth="1"/>
    <col min="2030" max="2030" width="14.5" style="72" customWidth="1"/>
    <col min="2031" max="2033" width="8.83203125" style="72"/>
    <col min="2034" max="2034" width="10.33203125" style="72" bestFit="1" customWidth="1"/>
    <col min="2035" max="2035" width="10.1640625" style="72" customWidth="1"/>
    <col min="2036" max="2036" width="11.5" style="72" customWidth="1"/>
    <col min="2037" max="2037" width="11" style="72" customWidth="1"/>
    <col min="2038" max="2038" width="6.33203125" style="72" customWidth="1"/>
    <col min="2039" max="2039" width="11.33203125" style="72" customWidth="1"/>
    <col min="2040" max="2040" width="14.6640625" style="72" bestFit="1" customWidth="1"/>
    <col min="2041" max="2283" width="8.83203125" style="72"/>
    <col min="2284" max="2284" width="14.5" style="72" customWidth="1"/>
    <col min="2285" max="2285" width="16.5" style="72" customWidth="1"/>
    <col min="2286" max="2286" width="14.5" style="72" customWidth="1"/>
    <col min="2287" max="2289" width="8.83203125" style="72"/>
    <col min="2290" max="2290" width="10.33203125" style="72" bestFit="1" customWidth="1"/>
    <col min="2291" max="2291" width="10.1640625" style="72" customWidth="1"/>
    <col min="2292" max="2292" width="11.5" style="72" customWidth="1"/>
    <col min="2293" max="2293" width="11" style="72" customWidth="1"/>
    <col min="2294" max="2294" width="6.33203125" style="72" customWidth="1"/>
    <col min="2295" max="2295" width="11.33203125" style="72" customWidth="1"/>
    <col min="2296" max="2296" width="14.6640625" style="72" bestFit="1" customWidth="1"/>
    <col min="2297" max="2539" width="8.83203125" style="72"/>
    <col min="2540" max="2540" width="14.5" style="72" customWidth="1"/>
    <col min="2541" max="2541" width="16.5" style="72" customWidth="1"/>
    <col min="2542" max="2542" width="14.5" style="72" customWidth="1"/>
    <col min="2543" max="2545" width="8.83203125" style="72"/>
    <col min="2546" max="2546" width="10.33203125" style="72" bestFit="1" customWidth="1"/>
    <col min="2547" max="2547" width="10.1640625" style="72" customWidth="1"/>
    <col min="2548" max="2548" width="11.5" style="72" customWidth="1"/>
    <col min="2549" max="2549" width="11" style="72" customWidth="1"/>
    <col min="2550" max="2550" width="6.33203125" style="72" customWidth="1"/>
    <col min="2551" max="2551" width="11.33203125" style="72" customWidth="1"/>
    <col min="2552" max="2552" width="14.6640625" style="72" bestFit="1" customWidth="1"/>
    <col min="2553" max="2795" width="8.83203125" style="72"/>
    <col min="2796" max="2796" width="14.5" style="72" customWidth="1"/>
    <col min="2797" max="2797" width="16.5" style="72" customWidth="1"/>
    <col min="2798" max="2798" width="14.5" style="72" customWidth="1"/>
    <col min="2799" max="2801" width="8.83203125" style="72"/>
    <col min="2802" max="2802" width="10.33203125" style="72" bestFit="1" customWidth="1"/>
    <col min="2803" max="2803" width="10.1640625" style="72" customWidth="1"/>
    <col min="2804" max="2804" width="11.5" style="72" customWidth="1"/>
    <col min="2805" max="2805" width="11" style="72" customWidth="1"/>
    <col min="2806" max="2806" width="6.33203125" style="72" customWidth="1"/>
    <col min="2807" max="2807" width="11.33203125" style="72" customWidth="1"/>
    <col min="2808" max="2808" width="14.6640625" style="72" bestFit="1" customWidth="1"/>
    <col min="2809" max="3051" width="8.83203125" style="72"/>
    <col min="3052" max="3052" width="14.5" style="72" customWidth="1"/>
    <col min="3053" max="3053" width="16.5" style="72" customWidth="1"/>
    <col min="3054" max="3054" width="14.5" style="72" customWidth="1"/>
    <col min="3055" max="3057" width="8.83203125" style="72"/>
    <col min="3058" max="3058" width="10.33203125" style="72" bestFit="1" customWidth="1"/>
    <col min="3059" max="3059" width="10.1640625" style="72" customWidth="1"/>
    <col min="3060" max="3060" width="11.5" style="72" customWidth="1"/>
    <col min="3061" max="3061" width="11" style="72" customWidth="1"/>
    <col min="3062" max="3062" width="6.33203125" style="72" customWidth="1"/>
    <col min="3063" max="3063" width="11.33203125" style="72" customWidth="1"/>
    <col min="3064" max="3064" width="14.6640625" style="72" bestFit="1" customWidth="1"/>
    <col min="3065" max="3307" width="8.83203125" style="72"/>
    <col min="3308" max="3308" width="14.5" style="72" customWidth="1"/>
    <col min="3309" max="3309" width="16.5" style="72" customWidth="1"/>
    <col min="3310" max="3310" width="14.5" style="72" customWidth="1"/>
    <col min="3311" max="3313" width="8.83203125" style="72"/>
    <col min="3314" max="3314" width="10.33203125" style="72" bestFit="1" customWidth="1"/>
    <col min="3315" max="3315" width="10.1640625" style="72" customWidth="1"/>
    <col min="3316" max="3316" width="11.5" style="72" customWidth="1"/>
    <col min="3317" max="3317" width="11" style="72" customWidth="1"/>
    <col min="3318" max="3318" width="6.33203125" style="72" customWidth="1"/>
    <col min="3319" max="3319" width="11.33203125" style="72" customWidth="1"/>
    <col min="3320" max="3320" width="14.6640625" style="72" bestFit="1" customWidth="1"/>
    <col min="3321" max="3563" width="8.83203125" style="72"/>
    <col min="3564" max="3564" width="14.5" style="72" customWidth="1"/>
    <col min="3565" max="3565" width="16.5" style="72" customWidth="1"/>
    <col min="3566" max="3566" width="14.5" style="72" customWidth="1"/>
    <col min="3567" max="3569" width="8.83203125" style="72"/>
    <col min="3570" max="3570" width="10.33203125" style="72" bestFit="1" customWidth="1"/>
    <col min="3571" max="3571" width="10.1640625" style="72" customWidth="1"/>
    <col min="3572" max="3572" width="11.5" style="72" customWidth="1"/>
    <col min="3573" max="3573" width="11" style="72" customWidth="1"/>
    <col min="3574" max="3574" width="6.33203125" style="72" customWidth="1"/>
    <col min="3575" max="3575" width="11.33203125" style="72" customWidth="1"/>
    <col min="3576" max="3576" width="14.6640625" style="72" bestFit="1" customWidth="1"/>
    <col min="3577" max="3819" width="8.83203125" style="72"/>
    <col min="3820" max="3820" width="14.5" style="72" customWidth="1"/>
    <col min="3821" max="3821" width="16.5" style="72" customWidth="1"/>
    <col min="3822" max="3822" width="14.5" style="72" customWidth="1"/>
    <col min="3823" max="3825" width="8.83203125" style="72"/>
    <col min="3826" max="3826" width="10.33203125" style="72" bestFit="1" customWidth="1"/>
    <col min="3827" max="3827" width="10.1640625" style="72" customWidth="1"/>
    <col min="3828" max="3828" width="11.5" style="72" customWidth="1"/>
    <col min="3829" max="3829" width="11" style="72" customWidth="1"/>
    <col min="3830" max="3830" width="6.33203125" style="72" customWidth="1"/>
    <col min="3831" max="3831" width="11.33203125" style="72" customWidth="1"/>
    <col min="3832" max="3832" width="14.6640625" style="72" bestFit="1" customWidth="1"/>
    <col min="3833" max="4075" width="8.83203125" style="72"/>
    <col min="4076" max="4076" width="14.5" style="72" customWidth="1"/>
    <col min="4077" max="4077" width="16.5" style="72" customWidth="1"/>
    <col min="4078" max="4078" width="14.5" style="72" customWidth="1"/>
    <col min="4079" max="4081" width="8.83203125" style="72"/>
    <col min="4082" max="4082" width="10.33203125" style="72" bestFit="1" customWidth="1"/>
    <col min="4083" max="4083" width="10.1640625" style="72" customWidth="1"/>
    <col min="4084" max="4084" width="11.5" style="72" customWidth="1"/>
    <col min="4085" max="4085" width="11" style="72" customWidth="1"/>
    <col min="4086" max="4086" width="6.33203125" style="72" customWidth="1"/>
    <col min="4087" max="4087" width="11.33203125" style="72" customWidth="1"/>
    <col min="4088" max="4088" width="14.6640625" style="72" bestFit="1" customWidth="1"/>
    <col min="4089" max="4331" width="8.83203125" style="72"/>
    <col min="4332" max="4332" width="14.5" style="72" customWidth="1"/>
    <col min="4333" max="4333" width="16.5" style="72" customWidth="1"/>
    <col min="4334" max="4334" width="14.5" style="72" customWidth="1"/>
    <col min="4335" max="4337" width="8.83203125" style="72"/>
    <col min="4338" max="4338" width="10.33203125" style="72" bestFit="1" customWidth="1"/>
    <col min="4339" max="4339" width="10.1640625" style="72" customWidth="1"/>
    <col min="4340" max="4340" width="11.5" style="72" customWidth="1"/>
    <col min="4341" max="4341" width="11" style="72" customWidth="1"/>
    <col min="4342" max="4342" width="6.33203125" style="72" customWidth="1"/>
    <col min="4343" max="4343" width="11.33203125" style="72" customWidth="1"/>
    <col min="4344" max="4344" width="14.6640625" style="72" bestFit="1" customWidth="1"/>
    <col min="4345" max="4587" width="8.83203125" style="72"/>
    <col min="4588" max="4588" width="14.5" style="72" customWidth="1"/>
    <col min="4589" max="4589" width="16.5" style="72" customWidth="1"/>
    <col min="4590" max="4590" width="14.5" style="72" customWidth="1"/>
    <col min="4591" max="4593" width="8.83203125" style="72"/>
    <col min="4594" max="4594" width="10.33203125" style="72" bestFit="1" customWidth="1"/>
    <col min="4595" max="4595" width="10.1640625" style="72" customWidth="1"/>
    <col min="4596" max="4596" width="11.5" style="72" customWidth="1"/>
    <col min="4597" max="4597" width="11" style="72" customWidth="1"/>
    <col min="4598" max="4598" width="6.33203125" style="72" customWidth="1"/>
    <col min="4599" max="4599" width="11.33203125" style="72" customWidth="1"/>
    <col min="4600" max="4600" width="14.6640625" style="72" bestFit="1" customWidth="1"/>
    <col min="4601" max="4843" width="8.83203125" style="72"/>
    <col min="4844" max="4844" width="14.5" style="72" customWidth="1"/>
    <col min="4845" max="4845" width="16.5" style="72" customWidth="1"/>
    <col min="4846" max="4846" width="14.5" style="72" customWidth="1"/>
    <col min="4847" max="4849" width="8.83203125" style="72"/>
    <col min="4850" max="4850" width="10.33203125" style="72" bestFit="1" customWidth="1"/>
    <col min="4851" max="4851" width="10.1640625" style="72" customWidth="1"/>
    <col min="4852" max="4852" width="11.5" style="72" customWidth="1"/>
    <col min="4853" max="4853" width="11" style="72" customWidth="1"/>
    <col min="4854" max="4854" width="6.33203125" style="72" customWidth="1"/>
    <col min="4855" max="4855" width="11.33203125" style="72" customWidth="1"/>
    <col min="4856" max="4856" width="14.6640625" style="72" bestFit="1" customWidth="1"/>
    <col min="4857" max="5099" width="8.83203125" style="72"/>
    <col min="5100" max="5100" width="14.5" style="72" customWidth="1"/>
    <col min="5101" max="5101" width="16.5" style="72" customWidth="1"/>
    <col min="5102" max="5102" width="14.5" style="72" customWidth="1"/>
    <col min="5103" max="5105" width="8.83203125" style="72"/>
    <col min="5106" max="5106" width="10.33203125" style="72" bestFit="1" customWidth="1"/>
    <col min="5107" max="5107" width="10.1640625" style="72" customWidth="1"/>
    <col min="5108" max="5108" width="11.5" style="72" customWidth="1"/>
    <col min="5109" max="5109" width="11" style="72" customWidth="1"/>
    <col min="5110" max="5110" width="6.33203125" style="72" customWidth="1"/>
    <col min="5111" max="5111" width="11.33203125" style="72" customWidth="1"/>
    <col min="5112" max="5112" width="14.6640625" style="72" bestFit="1" customWidth="1"/>
    <col min="5113" max="5355" width="8.83203125" style="72"/>
    <col min="5356" max="5356" width="14.5" style="72" customWidth="1"/>
    <col min="5357" max="5357" width="16.5" style="72" customWidth="1"/>
    <col min="5358" max="5358" width="14.5" style="72" customWidth="1"/>
    <col min="5359" max="5361" width="8.83203125" style="72"/>
    <col min="5362" max="5362" width="10.33203125" style="72" bestFit="1" customWidth="1"/>
    <col min="5363" max="5363" width="10.1640625" style="72" customWidth="1"/>
    <col min="5364" max="5364" width="11.5" style="72" customWidth="1"/>
    <col min="5365" max="5365" width="11" style="72" customWidth="1"/>
    <col min="5366" max="5366" width="6.33203125" style="72" customWidth="1"/>
    <col min="5367" max="5367" width="11.33203125" style="72" customWidth="1"/>
    <col min="5368" max="5368" width="14.6640625" style="72" bestFit="1" customWidth="1"/>
    <col min="5369" max="5611" width="8.83203125" style="72"/>
    <col min="5612" max="5612" width="14.5" style="72" customWidth="1"/>
    <col min="5613" max="5613" width="16.5" style="72" customWidth="1"/>
    <col min="5614" max="5614" width="14.5" style="72" customWidth="1"/>
    <col min="5615" max="5617" width="8.83203125" style="72"/>
    <col min="5618" max="5618" width="10.33203125" style="72" bestFit="1" customWidth="1"/>
    <col min="5619" max="5619" width="10.1640625" style="72" customWidth="1"/>
    <col min="5620" max="5620" width="11.5" style="72" customWidth="1"/>
    <col min="5621" max="5621" width="11" style="72" customWidth="1"/>
    <col min="5622" max="5622" width="6.33203125" style="72" customWidth="1"/>
    <col min="5623" max="5623" width="11.33203125" style="72" customWidth="1"/>
    <col min="5624" max="5624" width="14.6640625" style="72" bestFit="1" customWidth="1"/>
    <col min="5625" max="5867" width="8.83203125" style="72"/>
    <col min="5868" max="5868" width="14.5" style="72" customWidth="1"/>
    <col min="5869" max="5869" width="16.5" style="72" customWidth="1"/>
    <col min="5870" max="5870" width="14.5" style="72" customWidth="1"/>
    <col min="5871" max="5873" width="8.83203125" style="72"/>
    <col min="5874" max="5874" width="10.33203125" style="72" bestFit="1" customWidth="1"/>
    <col min="5875" max="5875" width="10.1640625" style="72" customWidth="1"/>
    <col min="5876" max="5876" width="11.5" style="72" customWidth="1"/>
    <col min="5877" max="5877" width="11" style="72" customWidth="1"/>
    <col min="5878" max="5878" width="6.33203125" style="72" customWidth="1"/>
    <col min="5879" max="5879" width="11.33203125" style="72" customWidth="1"/>
    <col min="5880" max="5880" width="14.6640625" style="72" bestFit="1" customWidth="1"/>
    <col min="5881" max="6123" width="8.83203125" style="72"/>
    <col min="6124" max="6124" width="14.5" style="72" customWidth="1"/>
    <col min="6125" max="6125" width="16.5" style="72" customWidth="1"/>
    <col min="6126" max="6126" width="14.5" style="72" customWidth="1"/>
    <col min="6127" max="6129" width="8.83203125" style="72"/>
    <col min="6130" max="6130" width="10.33203125" style="72" bestFit="1" customWidth="1"/>
    <col min="6131" max="6131" width="10.1640625" style="72" customWidth="1"/>
    <col min="6132" max="6132" width="11.5" style="72" customWidth="1"/>
    <col min="6133" max="6133" width="11" style="72" customWidth="1"/>
    <col min="6134" max="6134" width="6.33203125" style="72" customWidth="1"/>
    <col min="6135" max="6135" width="11.33203125" style="72" customWidth="1"/>
    <col min="6136" max="6136" width="14.6640625" style="72" bestFit="1" customWidth="1"/>
    <col min="6137" max="6379" width="8.83203125" style="72"/>
    <col min="6380" max="6380" width="14.5" style="72" customWidth="1"/>
    <col min="6381" max="6381" width="16.5" style="72" customWidth="1"/>
    <col min="6382" max="6382" width="14.5" style="72" customWidth="1"/>
    <col min="6383" max="6385" width="8.83203125" style="72"/>
    <col min="6386" max="6386" width="10.33203125" style="72" bestFit="1" customWidth="1"/>
    <col min="6387" max="6387" width="10.1640625" style="72" customWidth="1"/>
    <col min="6388" max="6388" width="11.5" style="72" customWidth="1"/>
    <col min="6389" max="6389" width="11" style="72" customWidth="1"/>
    <col min="6390" max="6390" width="6.33203125" style="72" customWidth="1"/>
    <col min="6391" max="6391" width="11.33203125" style="72" customWidth="1"/>
    <col min="6392" max="6392" width="14.6640625" style="72" bestFit="1" customWidth="1"/>
    <col min="6393" max="6635" width="8.83203125" style="72"/>
    <col min="6636" max="6636" width="14.5" style="72" customWidth="1"/>
    <col min="6637" max="6637" width="16.5" style="72" customWidth="1"/>
    <col min="6638" max="6638" width="14.5" style="72" customWidth="1"/>
    <col min="6639" max="6641" width="8.83203125" style="72"/>
    <col min="6642" max="6642" width="10.33203125" style="72" bestFit="1" customWidth="1"/>
    <col min="6643" max="6643" width="10.1640625" style="72" customWidth="1"/>
    <col min="6644" max="6644" width="11.5" style="72" customWidth="1"/>
    <col min="6645" max="6645" width="11" style="72" customWidth="1"/>
    <col min="6646" max="6646" width="6.33203125" style="72" customWidth="1"/>
    <col min="6647" max="6647" width="11.33203125" style="72" customWidth="1"/>
    <col min="6648" max="6648" width="14.6640625" style="72" bestFit="1" customWidth="1"/>
    <col min="6649" max="6891" width="8.83203125" style="72"/>
    <col min="6892" max="6892" width="14.5" style="72" customWidth="1"/>
    <col min="6893" max="6893" width="16.5" style="72" customWidth="1"/>
    <col min="6894" max="6894" width="14.5" style="72" customWidth="1"/>
    <col min="6895" max="6897" width="8.83203125" style="72"/>
    <col min="6898" max="6898" width="10.33203125" style="72" bestFit="1" customWidth="1"/>
    <col min="6899" max="6899" width="10.1640625" style="72" customWidth="1"/>
    <col min="6900" max="6900" width="11.5" style="72" customWidth="1"/>
    <col min="6901" max="6901" width="11" style="72" customWidth="1"/>
    <col min="6902" max="6902" width="6.33203125" style="72" customWidth="1"/>
    <col min="6903" max="6903" width="11.33203125" style="72" customWidth="1"/>
    <col min="6904" max="6904" width="14.6640625" style="72" bestFit="1" customWidth="1"/>
    <col min="6905" max="7147" width="8.83203125" style="72"/>
    <col min="7148" max="7148" width="14.5" style="72" customWidth="1"/>
    <col min="7149" max="7149" width="16.5" style="72" customWidth="1"/>
    <col min="7150" max="7150" width="14.5" style="72" customWidth="1"/>
    <col min="7151" max="7153" width="8.83203125" style="72"/>
    <col min="7154" max="7154" width="10.33203125" style="72" bestFit="1" customWidth="1"/>
    <col min="7155" max="7155" width="10.1640625" style="72" customWidth="1"/>
    <col min="7156" max="7156" width="11.5" style="72" customWidth="1"/>
    <col min="7157" max="7157" width="11" style="72" customWidth="1"/>
    <col min="7158" max="7158" width="6.33203125" style="72" customWidth="1"/>
    <col min="7159" max="7159" width="11.33203125" style="72" customWidth="1"/>
    <col min="7160" max="7160" width="14.6640625" style="72" bestFit="1" customWidth="1"/>
    <col min="7161" max="7403" width="8.83203125" style="72"/>
    <col min="7404" max="7404" width="14.5" style="72" customWidth="1"/>
    <col min="7405" max="7405" width="16.5" style="72" customWidth="1"/>
    <col min="7406" max="7406" width="14.5" style="72" customWidth="1"/>
    <col min="7407" max="7409" width="8.83203125" style="72"/>
    <col min="7410" max="7410" width="10.33203125" style="72" bestFit="1" customWidth="1"/>
    <col min="7411" max="7411" width="10.1640625" style="72" customWidth="1"/>
    <col min="7412" max="7412" width="11.5" style="72" customWidth="1"/>
    <col min="7413" max="7413" width="11" style="72" customWidth="1"/>
    <col min="7414" max="7414" width="6.33203125" style="72" customWidth="1"/>
    <col min="7415" max="7415" width="11.33203125" style="72" customWidth="1"/>
    <col min="7416" max="7416" width="14.6640625" style="72" bestFit="1" customWidth="1"/>
    <col min="7417" max="7659" width="8.83203125" style="72"/>
    <col min="7660" max="7660" width="14.5" style="72" customWidth="1"/>
    <col min="7661" max="7661" width="16.5" style="72" customWidth="1"/>
    <col min="7662" max="7662" width="14.5" style="72" customWidth="1"/>
    <col min="7663" max="7665" width="8.83203125" style="72"/>
    <col min="7666" max="7666" width="10.33203125" style="72" bestFit="1" customWidth="1"/>
    <col min="7667" max="7667" width="10.1640625" style="72" customWidth="1"/>
    <col min="7668" max="7668" width="11.5" style="72" customWidth="1"/>
    <col min="7669" max="7669" width="11" style="72" customWidth="1"/>
    <col min="7670" max="7670" width="6.33203125" style="72" customWidth="1"/>
    <col min="7671" max="7671" width="11.33203125" style="72" customWidth="1"/>
    <col min="7672" max="7672" width="14.6640625" style="72" bestFit="1" customWidth="1"/>
    <col min="7673" max="7915" width="8.83203125" style="72"/>
    <col min="7916" max="7916" width="14.5" style="72" customWidth="1"/>
    <col min="7917" max="7917" width="16.5" style="72" customWidth="1"/>
    <col min="7918" max="7918" width="14.5" style="72" customWidth="1"/>
    <col min="7919" max="7921" width="8.83203125" style="72"/>
    <col min="7922" max="7922" width="10.33203125" style="72" bestFit="1" customWidth="1"/>
    <col min="7923" max="7923" width="10.1640625" style="72" customWidth="1"/>
    <col min="7924" max="7924" width="11.5" style="72" customWidth="1"/>
    <col min="7925" max="7925" width="11" style="72" customWidth="1"/>
    <col min="7926" max="7926" width="6.33203125" style="72" customWidth="1"/>
    <col min="7927" max="7927" width="11.33203125" style="72" customWidth="1"/>
    <col min="7928" max="7928" width="14.6640625" style="72" bestFit="1" customWidth="1"/>
    <col min="7929" max="8171" width="8.83203125" style="72"/>
    <col min="8172" max="8172" width="14.5" style="72" customWidth="1"/>
    <col min="8173" max="8173" width="16.5" style="72" customWidth="1"/>
    <col min="8174" max="8174" width="14.5" style="72" customWidth="1"/>
    <col min="8175" max="8177" width="8.83203125" style="72"/>
    <col min="8178" max="8178" width="10.33203125" style="72" bestFit="1" customWidth="1"/>
    <col min="8179" max="8179" width="10.1640625" style="72" customWidth="1"/>
    <col min="8180" max="8180" width="11.5" style="72" customWidth="1"/>
    <col min="8181" max="8181" width="11" style="72" customWidth="1"/>
    <col min="8182" max="8182" width="6.33203125" style="72" customWidth="1"/>
    <col min="8183" max="8183" width="11.33203125" style="72" customWidth="1"/>
    <col min="8184" max="8184" width="14.6640625" style="72" bestFit="1" customWidth="1"/>
    <col min="8185" max="8427" width="8.83203125" style="72"/>
    <col min="8428" max="8428" width="14.5" style="72" customWidth="1"/>
    <col min="8429" max="8429" width="16.5" style="72" customWidth="1"/>
    <col min="8430" max="8430" width="14.5" style="72" customWidth="1"/>
    <col min="8431" max="8433" width="8.83203125" style="72"/>
    <col min="8434" max="8434" width="10.33203125" style="72" bestFit="1" customWidth="1"/>
    <col min="8435" max="8435" width="10.1640625" style="72" customWidth="1"/>
    <col min="8436" max="8436" width="11.5" style="72" customWidth="1"/>
    <col min="8437" max="8437" width="11" style="72" customWidth="1"/>
    <col min="8438" max="8438" width="6.33203125" style="72" customWidth="1"/>
    <col min="8439" max="8439" width="11.33203125" style="72" customWidth="1"/>
    <col min="8440" max="8440" width="14.6640625" style="72" bestFit="1" customWidth="1"/>
    <col min="8441" max="8683" width="8.83203125" style="72"/>
    <col min="8684" max="8684" width="14.5" style="72" customWidth="1"/>
    <col min="8685" max="8685" width="16.5" style="72" customWidth="1"/>
    <col min="8686" max="8686" width="14.5" style="72" customWidth="1"/>
    <col min="8687" max="8689" width="8.83203125" style="72"/>
    <col min="8690" max="8690" width="10.33203125" style="72" bestFit="1" customWidth="1"/>
    <col min="8691" max="8691" width="10.1640625" style="72" customWidth="1"/>
    <col min="8692" max="8692" width="11.5" style="72" customWidth="1"/>
    <col min="8693" max="8693" width="11" style="72" customWidth="1"/>
    <col min="8694" max="8694" width="6.33203125" style="72" customWidth="1"/>
    <col min="8695" max="8695" width="11.33203125" style="72" customWidth="1"/>
    <col min="8696" max="8696" width="14.6640625" style="72" bestFit="1" customWidth="1"/>
    <col min="8697" max="8939" width="8.83203125" style="72"/>
    <col min="8940" max="8940" width="14.5" style="72" customWidth="1"/>
    <col min="8941" max="8941" width="16.5" style="72" customWidth="1"/>
    <col min="8942" max="8942" width="14.5" style="72" customWidth="1"/>
    <col min="8943" max="8945" width="8.83203125" style="72"/>
    <col min="8946" max="8946" width="10.33203125" style="72" bestFit="1" customWidth="1"/>
    <col min="8947" max="8947" width="10.1640625" style="72" customWidth="1"/>
    <col min="8948" max="8948" width="11.5" style="72" customWidth="1"/>
    <col min="8949" max="8949" width="11" style="72" customWidth="1"/>
    <col min="8950" max="8950" width="6.33203125" style="72" customWidth="1"/>
    <col min="8951" max="8951" width="11.33203125" style="72" customWidth="1"/>
    <col min="8952" max="8952" width="14.6640625" style="72" bestFit="1" customWidth="1"/>
    <col min="8953" max="9195" width="8.83203125" style="72"/>
    <col min="9196" max="9196" width="14.5" style="72" customWidth="1"/>
    <col min="9197" max="9197" width="16.5" style="72" customWidth="1"/>
    <col min="9198" max="9198" width="14.5" style="72" customWidth="1"/>
    <col min="9199" max="9201" width="8.83203125" style="72"/>
    <col min="9202" max="9202" width="10.33203125" style="72" bestFit="1" customWidth="1"/>
    <col min="9203" max="9203" width="10.1640625" style="72" customWidth="1"/>
    <col min="9204" max="9204" width="11.5" style="72" customWidth="1"/>
    <col min="9205" max="9205" width="11" style="72" customWidth="1"/>
    <col min="9206" max="9206" width="6.33203125" style="72" customWidth="1"/>
    <col min="9207" max="9207" width="11.33203125" style="72" customWidth="1"/>
    <col min="9208" max="9208" width="14.6640625" style="72" bestFit="1" customWidth="1"/>
    <col min="9209" max="9451" width="8.83203125" style="72"/>
    <col min="9452" max="9452" width="14.5" style="72" customWidth="1"/>
    <col min="9453" max="9453" width="16.5" style="72" customWidth="1"/>
    <col min="9454" max="9454" width="14.5" style="72" customWidth="1"/>
    <col min="9455" max="9457" width="8.83203125" style="72"/>
    <col min="9458" max="9458" width="10.33203125" style="72" bestFit="1" customWidth="1"/>
    <col min="9459" max="9459" width="10.1640625" style="72" customWidth="1"/>
    <col min="9460" max="9460" width="11.5" style="72" customWidth="1"/>
    <col min="9461" max="9461" width="11" style="72" customWidth="1"/>
    <col min="9462" max="9462" width="6.33203125" style="72" customWidth="1"/>
    <col min="9463" max="9463" width="11.33203125" style="72" customWidth="1"/>
    <col min="9464" max="9464" width="14.6640625" style="72" bestFit="1" customWidth="1"/>
    <col min="9465" max="9707" width="8.83203125" style="72"/>
    <col min="9708" max="9708" width="14.5" style="72" customWidth="1"/>
    <col min="9709" max="9709" width="16.5" style="72" customWidth="1"/>
    <col min="9710" max="9710" width="14.5" style="72" customWidth="1"/>
    <col min="9711" max="9713" width="8.83203125" style="72"/>
    <col min="9714" max="9714" width="10.33203125" style="72" bestFit="1" customWidth="1"/>
    <col min="9715" max="9715" width="10.1640625" style="72" customWidth="1"/>
    <col min="9716" max="9716" width="11.5" style="72" customWidth="1"/>
    <col min="9717" max="9717" width="11" style="72" customWidth="1"/>
    <col min="9718" max="9718" width="6.33203125" style="72" customWidth="1"/>
    <col min="9719" max="9719" width="11.33203125" style="72" customWidth="1"/>
    <col min="9720" max="9720" width="14.6640625" style="72" bestFit="1" customWidth="1"/>
    <col min="9721" max="9963" width="8.83203125" style="72"/>
    <col min="9964" max="9964" width="14.5" style="72" customWidth="1"/>
    <col min="9965" max="9965" width="16.5" style="72" customWidth="1"/>
    <col min="9966" max="9966" width="14.5" style="72" customWidth="1"/>
    <col min="9967" max="9969" width="8.83203125" style="72"/>
    <col min="9970" max="9970" width="10.33203125" style="72" bestFit="1" customWidth="1"/>
    <col min="9971" max="9971" width="10.1640625" style="72" customWidth="1"/>
    <col min="9972" max="9972" width="11.5" style="72" customWidth="1"/>
    <col min="9973" max="9973" width="11" style="72" customWidth="1"/>
    <col min="9974" max="9974" width="6.33203125" style="72" customWidth="1"/>
    <col min="9975" max="9975" width="11.33203125" style="72" customWidth="1"/>
    <col min="9976" max="9976" width="14.6640625" style="72" bestFit="1" customWidth="1"/>
    <col min="9977" max="10219" width="8.83203125" style="72"/>
    <col min="10220" max="10220" width="14.5" style="72" customWidth="1"/>
    <col min="10221" max="10221" width="16.5" style="72" customWidth="1"/>
    <col min="10222" max="10222" width="14.5" style="72" customWidth="1"/>
    <col min="10223" max="10225" width="8.83203125" style="72"/>
    <col min="10226" max="10226" width="10.33203125" style="72" bestFit="1" customWidth="1"/>
    <col min="10227" max="10227" width="10.1640625" style="72" customWidth="1"/>
    <col min="10228" max="10228" width="11.5" style="72" customWidth="1"/>
    <col min="10229" max="10229" width="11" style="72" customWidth="1"/>
    <col min="10230" max="10230" width="6.33203125" style="72" customWidth="1"/>
    <col min="10231" max="10231" width="11.33203125" style="72" customWidth="1"/>
    <col min="10232" max="10232" width="14.6640625" style="72" bestFit="1" customWidth="1"/>
    <col min="10233" max="10475" width="8.83203125" style="72"/>
    <col min="10476" max="10476" width="14.5" style="72" customWidth="1"/>
    <col min="10477" max="10477" width="16.5" style="72" customWidth="1"/>
    <col min="10478" max="10478" width="14.5" style="72" customWidth="1"/>
    <col min="10479" max="10481" width="8.83203125" style="72"/>
    <col min="10482" max="10482" width="10.33203125" style="72" bestFit="1" customWidth="1"/>
    <col min="10483" max="10483" width="10.1640625" style="72" customWidth="1"/>
    <col min="10484" max="10484" width="11.5" style="72" customWidth="1"/>
    <col min="10485" max="10485" width="11" style="72" customWidth="1"/>
    <col min="10486" max="10486" width="6.33203125" style="72" customWidth="1"/>
    <col min="10487" max="10487" width="11.33203125" style="72" customWidth="1"/>
    <col min="10488" max="10488" width="14.6640625" style="72" bestFit="1" customWidth="1"/>
    <col min="10489" max="10731" width="8.83203125" style="72"/>
    <col min="10732" max="10732" width="14.5" style="72" customWidth="1"/>
    <col min="10733" max="10733" width="16.5" style="72" customWidth="1"/>
    <col min="10734" max="10734" width="14.5" style="72" customWidth="1"/>
    <col min="10735" max="10737" width="8.83203125" style="72"/>
    <col min="10738" max="10738" width="10.33203125" style="72" bestFit="1" customWidth="1"/>
    <col min="10739" max="10739" width="10.1640625" style="72" customWidth="1"/>
    <col min="10740" max="10740" width="11.5" style="72" customWidth="1"/>
    <col min="10741" max="10741" width="11" style="72" customWidth="1"/>
    <col min="10742" max="10742" width="6.33203125" style="72" customWidth="1"/>
    <col min="10743" max="10743" width="11.33203125" style="72" customWidth="1"/>
    <col min="10744" max="10744" width="14.6640625" style="72" bestFit="1" customWidth="1"/>
    <col min="10745" max="10987" width="8.83203125" style="72"/>
    <col min="10988" max="10988" width="14.5" style="72" customWidth="1"/>
    <col min="10989" max="10989" width="16.5" style="72" customWidth="1"/>
    <col min="10990" max="10990" width="14.5" style="72" customWidth="1"/>
    <col min="10991" max="10993" width="8.83203125" style="72"/>
    <col min="10994" max="10994" width="10.33203125" style="72" bestFit="1" customWidth="1"/>
    <col min="10995" max="10995" width="10.1640625" style="72" customWidth="1"/>
    <col min="10996" max="10996" width="11.5" style="72" customWidth="1"/>
    <col min="10997" max="10997" width="11" style="72" customWidth="1"/>
    <col min="10998" max="10998" width="6.33203125" style="72" customWidth="1"/>
    <col min="10999" max="10999" width="11.33203125" style="72" customWidth="1"/>
    <col min="11000" max="11000" width="14.6640625" style="72" bestFit="1" customWidth="1"/>
    <col min="11001" max="11243" width="8.83203125" style="72"/>
    <col min="11244" max="11244" width="14.5" style="72" customWidth="1"/>
    <col min="11245" max="11245" width="16.5" style="72" customWidth="1"/>
    <col min="11246" max="11246" width="14.5" style="72" customWidth="1"/>
    <col min="11247" max="11249" width="8.83203125" style="72"/>
    <col min="11250" max="11250" width="10.33203125" style="72" bestFit="1" customWidth="1"/>
    <col min="11251" max="11251" width="10.1640625" style="72" customWidth="1"/>
    <col min="11252" max="11252" width="11.5" style="72" customWidth="1"/>
    <col min="11253" max="11253" width="11" style="72" customWidth="1"/>
    <col min="11254" max="11254" width="6.33203125" style="72" customWidth="1"/>
    <col min="11255" max="11255" width="11.33203125" style="72" customWidth="1"/>
    <col min="11256" max="11256" width="14.6640625" style="72" bestFit="1" customWidth="1"/>
    <col min="11257" max="11499" width="8.83203125" style="72"/>
    <col min="11500" max="11500" width="14.5" style="72" customWidth="1"/>
    <col min="11501" max="11501" width="16.5" style="72" customWidth="1"/>
    <col min="11502" max="11502" width="14.5" style="72" customWidth="1"/>
    <col min="11503" max="11505" width="8.83203125" style="72"/>
    <col min="11506" max="11506" width="10.33203125" style="72" bestFit="1" customWidth="1"/>
    <col min="11507" max="11507" width="10.1640625" style="72" customWidth="1"/>
    <col min="11508" max="11508" width="11.5" style="72" customWidth="1"/>
    <col min="11509" max="11509" width="11" style="72" customWidth="1"/>
    <col min="11510" max="11510" width="6.33203125" style="72" customWidth="1"/>
    <col min="11511" max="11511" width="11.33203125" style="72" customWidth="1"/>
    <col min="11512" max="11512" width="14.6640625" style="72" bestFit="1" customWidth="1"/>
    <col min="11513" max="11755" width="8.83203125" style="72"/>
    <col min="11756" max="11756" width="14.5" style="72" customWidth="1"/>
    <col min="11757" max="11757" width="16.5" style="72" customWidth="1"/>
    <col min="11758" max="11758" width="14.5" style="72" customWidth="1"/>
    <col min="11759" max="11761" width="8.83203125" style="72"/>
    <col min="11762" max="11762" width="10.33203125" style="72" bestFit="1" customWidth="1"/>
    <col min="11763" max="11763" width="10.1640625" style="72" customWidth="1"/>
    <col min="11764" max="11764" width="11.5" style="72" customWidth="1"/>
    <col min="11765" max="11765" width="11" style="72" customWidth="1"/>
    <col min="11766" max="11766" width="6.33203125" style="72" customWidth="1"/>
    <col min="11767" max="11767" width="11.33203125" style="72" customWidth="1"/>
    <col min="11768" max="11768" width="14.6640625" style="72" bestFit="1" customWidth="1"/>
    <col min="11769" max="12011" width="8.83203125" style="72"/>
    <col min="12012" max="12012" width="14.5" style="72" customWidth="1"/>
    <col min="12013" max="12013" width="16.5" style="72" customWidth="1"/>
    <col min="12014" max="12014" width="14.5" style="72" customWidth="1"/>
    <col min="12015" max="12017" width="8.83203125" style="72"/>
    <col min="12018" max="12018" width="10.33203125" style="72" bestFit="1" customWidth="1"/>
    <col min="12019" max="12019" width="10.1640625" style="72" customWidth="1"/>
    <col min="12020" max="12020" width="11.5" style="72" customWidth="1"/>
    <col min="12021" max="12021" width="11" style="72" customWidth="1"/>
    <col min="12022" max="12022" width="6.33203125" style="72" customWidth="1"/>
    <col min="12023" max="12023" width="11.33203125" style="72" customWidth="1"/>
    <col min="12024" max="12024" width="14.6640625" style="72" bestFit="1" customWidth="1"/>
    <col min="12025" max="12267" width="8.83203125" style="72"/>
    <col min="12268" max="12268" width="14.5" style="72" customWidth="1"/>
    <col min="12269" max="12269" width="16.5" style="72" customWidth="1"/>
    <col min="12270" max="12270" width="14.5" style="72" customWidth="1"/>
    <col min="12271" max="12273" width="8.83203125" style="72"/>
    <col min="12274" max="12274" width="10.33203125" style="72" bestFit="1" customWidth="1"/>
    <col min="12275" max="12275" width="10.1640625" style="72" customWidth="1"/>
    <col min="12276" max="12276" width="11.5" style="72" customWidth="1"/>
    <col min="12277" max="12277" width="11" style="72" customWidth="1"/>
    <col min="12278" max="12278" width="6.33203125" style="72" customWidth="1"/>
    <col min="12279" max="12279" width="11.33203125" style="72" customWidth="1"/>
    <col min="12280" max="12280" width="14.6640625" style="72" bestFit="1" customWidth="1"/>
    <col min="12281" max="12523" width="8.83203125" style="72"/>
    <col min="12524" max="12524" width="14.5" style="72" customWidth="1"/>
    <col min="12525" max="12525" width="16.5" style="72" customWidth="1"/>
    <col min="12526" max="12526" width="14.5" style="72" customWidth="1"/>
    <col min="12527" max="12529" width="8.83203125" style="72"/>
    <col min="12530" max="12530" width="10.33203125" style="72" bestFit="1" customWidth="1"/>
    <col min="12531" max="12531" width="10.1640625" style="72" customWidth="1"/>
    <col min="12532" max="12532" width="11.5" style="72" customWidth="1"/>
    <col min="12533" max="12533" width="11" style="72" customWidth="1"/>
    <col min="12534" max="12534" width="6.33203125" style="72" customWidth="1"/>
    <col min="12535" max="12535" width="11.33203125" style="72" customWidth="1"/>
    <col min="12536" max="12536" width="14.6640625" style="72" bestFit="1" customWidth="1"/>
    <col min="12537" max="12779" width="8.83203125" style="72"/>
    <col min="12780" max="12780" width="14.5" style="72" customWidth="1"/>
    <col min="12781" max="12781" width="16.5" style="72" customWidth="1"/>
    <col min="12782" max="12782" width="14.5" style="72" customWidth="1"/>
    <col min="12783" max="12785" width="8.83203125" style="72"/>
    <col min="12786" max="12786" width="10.33203125" style="72" bestFit="1" customWidth="1"/>
    <col min="12787" max="12787" width="10.1640625" style="72" customWidth="1"/>
    <col min="12788" max="12788" width="11.5" style="72" customWidth="1"/>
    <col min="12789" max="12789" width="11" style="72" customWidth="1"/>
    <col min="12790" max="12790" width="6.33203125" style="72" customWidth="1"/>
    <col min="12791" max="12791" width="11.33203125" style="72" customWidth="1"/>
    <col min="12792" max="12792" width="14.6640625" style="72" bestFit="1" customWidth="1"/>
    <col min="12793" max="13035" width="8.83203125" style="72"/>
    <col min="13036" max="13036" width="14.5" style="72" customWidth="1"/>
    <col min="13037" max="13037" width="16.5" style="72" customWidth="1"/>
    <col min="13038" max="13038" width="14.5" style="72" customWidth="1"/>
    <col min="13039" max="13041" width="8.83203125" style="72"/>
    <col min="13042" max="13042" width="10.33203125" style="72" bestFit="1" customWidth="1"/>
    <col min="13043" max="13043" width="10.1640625" style="72" customWidth="1"/>
    <col min="13044" max="13044" width="11.5" style="72" customWidth="1"/>
    <col min="13045" max="13045" width="11" style="72" customWidth="1"/>
    <col min="13046" max="13046" width="6.33203125" style="72" customWidth="1"/>
    <col min="13047" max="13047" width="11.33203125" style="72" customWidth="1"/>
    <col min="13048" max="13048" width="14.6640625" style="72" bestFit="1" customWidth="1"/>
    <col min="13049" max="13291" width="8.83203125" style="72"/>
    <col min="13292" max="13292" width="14.5" style="72" customWidth="1"/>
    <col min="13293" max="13293" width="16.5" style="72" customWidth="1"/>
    <col min="13294" max="13294" width="14.5" style="72" customWidth="1"/>
    <col min="13295" max="13297" width="8.83203125" style="72"/>
    <col min="13298" max="13298" width="10.33203125" style="72" bestFit="1" customWidth="1"/>
    <col min="13299" max="13299" width="10.1640625" style="72" customWidth="1"/>
    <col min="13300" max="13300" width="11.5" style="72" customWidth="1"/>
    <col min="13301" max="13301" width="11" style="72" customWidth="1"/>
    <col min="13302" max="13302" width="6.33203125" style="72" customWidth="1"/>
    <col min="13303" max="13303" width="11.33203125" style="72" customWidth="1"/>
    <col min="13304" max="13304" width="14.6640625" style="72" bestFit="1" customWidth="1"/>
    <col min="13305" max="13547" width="8.83203125" style="72"/>
    <col min="13548" max="13548" width="14.5" style="72" customWidth="1"/>
    <col min="13549" max="13549" width="16.5" style="72" customWidth="1"/>
    <col min="13550" max="13550" width="14.5" style="72" customWidth="1"/>
    <col min="13551" max="13553" width="8.83203125" style="72"/>
    <col min="13554" max="13554" width="10.33203125" style="72" bestFit="1" customWidth="1"/>
    <col min="13555" max="13555" width="10.1640625" style="72" customWidth="1"/>
    <col min="13556" max="13556" width="11.5" style="72" customWidth="1"/>
    <col min="13557" max="13557" width="11" style="72" customWidth="1"/>
    <col min="13558" max="13558" width="6.33203125" style="72" customWidth="1"/>
    <col min="13559" max="13559" width="11.33203125" style="72" customWidth="1"/>
    <col min="13560" max="13560" width="14.6640625" style="72" bestFit="1" customWidth="1"/>
    <col min="13561" max="13803" width="8.83203125" style="72"/>
    <col min="13804" max="13804" width="14.5" style="72" customWidth="1"/>
    <col min="13805" max="13805" width="16.5" style="72" customWidth="1"/>
    <col min="13806" max="13806" width="14.5" style="72" customWidth="1"/>
    <col min="13807" max="13809" width="8.83203125" style="72"/>
    <col min="13810" max="13810" width="10.33203125" style="72" bestFit="1" customWidth="1"/>
    <col min="13811" max="13811" width="10.1640625" style="72" customWidth="1"/>
    <col min="13812" max="13812" width="11.5" style="72" customWidth="1"/>
    <col min="13813" max="13813" width="11" style="72" customWidth="1"/>
    <col min="13814" max="13814" width="6.33203125" style="72" customWidth="1"/>
    <col min="13815" max="13815" width="11.33203125" style="72" customWidth="1"/>
    <col min="13816" max="13816" width="14.6640625" style="72" bestFit="1" customWidth="1"/>
    <col min="13817" max="14059" width="8.83203125" style="72"/>
    <col min="14060" max="14060" width="14.5" style="72" customWidth="1"/>
    <col min="14061" max="14061" width="16.5" style="72" customWidth="1"/>
    <col min="14062" max="14062" width="14.5" style="72" customWidth="1"/>
    <col min="14063" max="14065" width="8.83203125" style="72"/>
    <col min="14066" max="14066" width="10.33203125" style="72" bestFit="1" customWidth="1"/>
    <col min="14067" max="14067" width="10.1640625" style="72" customWidth="1"/>
    <col min="14068" max="14068" width="11.5" style="72" customWidth="1"/>
    <col min="14069" max="14069" width="11" style="72" customWidth="1"/>
    <col min="14070" max="14070" width="6.33203125" style="72" customWidth="1"/>
    <col min="14071" max="14071" width="11.33203125" style="72" customWidth="1"/>
    <col min="14072" max="14072" width="14.6640625" style="72" bestFit="1" customWidth="1"/>
    <col min="14073" max="14315" width="8.83203125" style="72"/>
    <col min="14316" max="14316" width="14.5" style="72" customWidth="1"/>
    <col min="14317" max="14317" width="16.5" style="72" customWidth="1"/>
    <col min="14318" max="14318" width="14.5" style="72" customWidth="1"/>
    <col min="14319" max="14321" width="8.83203125" style="72"/>
    <col min="14322" max="14322" width="10.33203125" style="72" bestFit="1" customWidth="1"/>
    <col min="14323" max="14323" width="10.1640625" style="72" customWidth="1"/>
    <col min="14324" max="14324" width="11.5" style="72" customWidth="1"/>
    <col min="14325" max="14325" width="11" style="72" customWidth="1"/>
    <col min="14326" max="14326" width="6.33203125" style="72" customWidth="1"/>
    <col min="14327" max="14327" width="11.33203125" style="72" customWidth="1"/>
    <col min="14328" max="14328" width="14.6640625" style="72" bestFit="1" customWidth="1"/>
    <col min="14329" max="14571" width="8.83203125" style="72"/>
    <col min="14572" max="14572" width="14.5" style="72" customWidth="1"/>
    <col min="14573" max="14573" width="16.5" style="72" customWidth="1"/>
    <col min="14574" max="14574" width="14.5" style="72" customWidth="1"/>
    <col min="14575" max="14577" width="8.83203125" style="72"/>
    <col min="14578" max="14578" width="10.33203125" style="72" bestFit="1" customWidth="1"/>
    <col min="14579" max="14579" width="10.1640625" style="72" customWidth="1"/>
    <col min="14580" max="14580" width="11.5" style="72" customWidth="1"/>
    <col min="14581" max="14581" width="11" style="72" customWidth="1"/>
    <col min="14582" max="14582" width="6.33203125" style="72" customWidth="1"/>
    <col min="14583" max="14583" width="11.33203125" style="72" customWidth="1"/>
    <col min="14584" max="14584" width="14.6640625" style="72" bestFit="1" customWidth="1"/>
    <col min="14585" max="14827" width="8.83203125" style="72"/>
    <col min="14828" max="14828" width="14.5" style="72" customWidth="1"/>
    <col min="14829" max="14829" width="16.5" style="72" customWidth="1"/>
    <col min="14830" max="14830" width="14.5" style="72" customWidth="1"/>
    <col min="14831" max="14833" width="8.83203125" style="72"/>
    <col min="14834" max="14834" width="10.33203125" style="72" bestFit="1" customWidth="1"/>
    <col min="14835" max="14835" width="10.1640625" style="72" customWidth="1"/>
    <col min="14836" max="14836" width="11.5" style="72" customWidth="1"/>
    <col min="14837" max="14837" width="11" style="72" customWidth="1"/>
    <col min="14838" max="14838" width="6.33203125" style="72" customWidth="1"/>
    <col min="14839" max="14839" width="11.33203125" style="72" customWidth="1"/>
    <col min="14840" max="14840" width="14.6640625" style="72" bestFit="1" customWidth="1"/>
    <col min="14841" max="15083" width="8.83203125" style="72"/>
    <col min="15084" max="15084" width="14.5" style="72" customWidth="1"/>
    <col min="15085" max="15085" width="16.5" style="72" customWidth="1"/>
    <col min="15086" max="15086" width="14.5" style="72" customWidth="1"/>
    <col min="15087" max="15089" width="8.83203125" style="72"/>
    <col min="15090" max="15090" width="10.33203125" style="72" bestFit="1" customWidth="1"/>
    <col min="15091" max="15091" width="10.1640625" style="72" customWidth="1"/>
    <col min="15092" max="15092" width="11.5" style="72" customWidth="1"/>
    <col min="15093" max="15093" width="11" style="72" customWidth="1"/>
    <col min="15094" max="15094" width="6.33203125" style="72" customWidth="1"/>
    <col min="15095" max="15095" width="11.33203125" style="72" customWidth="1"/>
    <col min="15096" max="15096" width="14.6640625" style="72" bestFit="1" customWidth="1"/>
    <col min="15097" max="15339" width="8.83203125" style="72"/>
    <col min="15340" max="15340" width="14.5" style="72" customWidth="1"/>
    <col min="15341" max="15341" width="16.5" style="72" customWidth="1"/>
    <col min="15342" max="15342" width="14.5" style="72" customWidth="1"/>
    <col min="15343" max="15345" width="8.83203125" style="72"/>
    <col min="15346" max="15346" width="10.33203125" style="72" bestFit="1" customWidth="1"/>
    <col min="15347" max="15347" width="10.1640625" style="72" customWidth="1"/>
    <col min="15348" max="15348" width="11.5" style="72" customWidth="1"/>
    <col min="15349" max="15349" width="11" style="72" customWidth="1"/>
    <col min="15350" max="15350" width="6.33203125" style="72" customWidth="1"/>
    <col min="15351" max="15351" width="11.33203125" style="72" customWidth="1"/>
    <col min="15352" max="15352" width="14.6640625" style="72" bestFit="1" customWidth="1"/>
    <col min="15353" max="15595" width="8.83203125" style="72"/>
    <col min="15596" max="15596" width="14.5" style="72" customWidth="1"/>
    <col min="15597" max="15597" width="16.5" style="72" customWidth="1"/>
    <col min="15598" max="15598" width="14.5" style="72" customWidth="1"/>
    <col min="15599" max="15601" width="8.83203125" style="72"/>
    <col min="15602" max="15602" width="10.33203125" style="72" bestFit="1" customWidth="1"/>
    <col min="15603" max="15603" width="10.1640625" style="72" customWidth="1"/>
    <col min="15604" max="15604" width="11.5" style="72" customWidth="1"/>
    <col min="15605" max="15605" width="11" style="72" customWidth="1"/>
    <col min="15606" max="15606" width="6.33203125" style="72" customWidth="1"/>
    <col min="15607" max="15607" width="11.33203125" style="72" customWidth="1"/>
    <col min="15608" max="15608" width="14.6640625" style="72" bestFit="1" customWidth="1"/>
    <col min="15609" max="15851" width="8.83203125" style="72"/>
    <col min="15852" max="15852" width="14.5" style="72" customWidth="1"/>
    <col min="15853" max="15853" width="16.5" style="72" customWidth="1"/>
    <col min="15854" max="15854" width="14.5" style="72" customWidth="1"/>
    <col min="15855" max="15857" width="8.83203125" style="72"/>
    <col min="15858" max="15858" width="10.33203125" style="72" bestFit="1" customWidth="1"/>
    <col min="15859" max="15859" width="10.1640625" style="72" customWidth="1"/>
    <col min="15860" max="15860" width="11.5" style="72" customWidth="1"/>
    <col min="15861" max="15861" width="11" style="72" customWidth="1"/>
    <col min="15862" max="15862" width="6.33203125" style="72" customWidth="1"/>
    <col min="15863" max="15863" width="11.33203125" style="72" customWidth="1"/>
    <col min="15864" max="15864" width="14.6640625" style="72" bestFit="1" customWidth="1"/>
    <col min="15865" max="16107" width="8.83203125" style="72"/>
    <col min="16108" max="16108" width="14.5" style="72" customWidth="1"/>
    <col min="16109" max="16109" width="16.5" style="72" customWidth="1"/>
    <col min="16110" max="16110" width="14.5" style="72" customWidth="1"/>
    <col min="16111" max="16113" width="8.83203125" style="72"/>
    <col min="16114" max="16114" width="10.33203125" style="72" bestFit="1" customWidth="1"/>
    <col min="16115" max="16115" width="10.1640625" style="72" customWidth="1"/>
    <col min="16116" max="16116" width="11.5" style="72" customWidth="1"/>
    <col min="16117" max="16117" width="11" style="72" customWidth="1"/>
    <col min="16118" max="16118" width="6.33203125" style="72" customWidth="1"/>
    <col min="16119" max="16119" width="11.33203125" style="72" customWidth="1"/>
    <col min="16120" max="16120" width="14.6640625" style="72" bestFit="1" customWidth="1"/>
    <col min="16121" max="16384" width="8.83203125" style="72"/>
  </cols>
  <sheetData>
    <row r="1" spans="1:6" x14ac:dyDescent="0.15">
      <c r="A1" s="71" t="s">
        <v>69</v>
      </c>
    </row>
    <row r="2" spans="1:6" ht="28" x14ac:dyDescent="0.15">
      <c r="A2" s="73" t="s">
        <v>13</v>
      </c>
      <c r="B2" s="74" t="s">
        <v>81</v>
      </c>
      <c r="D2" s="73" t="s">
        <v>13</v>
      </c>
      <c r="E2" s="74" t="s">
        <v>81</v>
      </c>
    </row>
    <row r="3" spans="1:6" ht="15.75" customHeight="1" x14ac:dyDescent="0.15">
      <c r="A3" s="209" t="str">
        <f>D3</f>
        <v>2020-09</v>
      </c>
      <c r="B3" s="167">
        <f t="shared" ref="B3:B15" si="0">E3/1000000</f>
        <v>7.7868000000000004</v>
      </c>
      <c r="D3" s="286" t="s">
        <v>155</v>
      </c>
      <c r="E3" s="277">
        <v>7786800</v>
      </c>
      <c r="F3" s="123" t="s">
        <v>97</v>
      </c>
    </row>
    <row r="4" spans="1:6" ht="14" x14ac:dyDescent="0.15">
      <c r="A4" s="209" t="str">
        <f t="shared" ref="A4:A15" si="1">D4</f>
        <v>2020-10</v>
      </c>
      <c r="B4" s="167">
        <f t="shared" si="0"/>
        <v>7.7833769999999998</v>
      </c>
      <c r="D4" s="286" t="s">
        <v>175</v>
      </c>
      <c r="E4" s="277">
        <v>7783377</v>
      </c>
    </row>
    <row r="5" spans="1:6" ht="14" x14ac:dyDescent="0.15">
      <c r="A5" s="209" t="str">
        <f t="shared" si="1"/>
        <v>2020-11</v>
      </c>
      <c r="B5" s="167">
        <f t="shared" si="0"/>
        <v>8.2517029999999991</v>
      </c>
      <c r="D5" s="286" t="s">
        <v>176</v>
      </c>
      <c r="E5" s="277">
        <v>8251703</v>
      </c>
    </row>
    <row r="6" spans="1:6" ht="14" x14ac:dyDescent="0.15">
      <c r="A6" s="209" t="str">
        <f t="shared" si="1"/>
        <v>2020-12</v>
      </c>
      <c r="B6" s="167">
        <f t="shared" si="0"/>
        <v>9.3050440000000005</v>
      </c>
      <c r="D6" s="286" t="s">
        <v>177</v>
      </c>
      <c r="E6" s="277">
        <v>9305044</v>
      </c>
    </row>
    <row r="7" spans="1:6" ht="14" x14ac:dyDescent="0.15">
      <c r="A7" s="209" t="str">
        <f t="shared" si="1"/>
        <v>2021-01</v>
      </c>
      <c r="B7" s="167">
        <f t="shared" si="0"/>
        <v>13.483093999999999</v>
      </c>
      <c r="D7" s="286" t="s">
        <v>178</v>
      </c>
      <c r="E7" s="277">
        <v>13483094</v>
      </c>
    </row>
    <row r="8" spans="1:6" ht="14" x14ac:dyDescent="0.15">
      <c r="A8" s="209" t="str">
        <f t="shared" si="1"/>
        <v>2021-02</v>
      </c>
      <c r="B8" s="167">
        <f t="shared" si="0"/>
        <v>13.097364000000001</v>
      </c>
      <c r="D8" s="286" t="s">
        <v>179</v>
      </c>
      <c r="E8" s="277">
        <v>13097364</v>
      </c>
    </row>
    <row r="9" spans="1:6" ht="14" x14ac:dyDescent="0.15">
      <c r="A9" s="209" t="str">
        <f t="shared" si="1"/>
        <v>2021-03</v>
      </c>
      <c r="B9" s="167">
        <f t="shared" si="0"/>
        <v>16.808402999999998</v>
      </c>
      <c r="D9" s="286" t="s">
        <v>180</v>
      </c>
      <c r="E9" s="277">
        <v>16808403</v>
      </c>
    </row>
    <row r="10" spans="1:6" ht="14" x14ac:dyDescent="0.15">
      <c r="A10" s="209" t="str">
        <f t="shared" si="1"/>
        <v>2021-04</v>
      </c>
      <c r="B10" s="167">
        <f t="shared" si="0"/>
        <v>14.204007000000001</v>
      </c>
      <c r="D10" s="286" t="s">
        <v>181</v>
      </c>
      <c r="E10" s="277">
        <v>14204007</v>
      </c>
    </row>
    <row r="11" spans="1:6" ht="14" x14ac:dyDescent="0.15">
      <c r="A11" s="209" t="str">
        <f t="shared" si="1"/>
        <v>2021-05</v>
      </c>
      <c r="B11" s="167">
        <f t="shared" si="0"/>
        <v>14.693838</v>
      </c>
      <c r="D11" s="286" t="s">
        <v>182</v>
      </c>
      <c r="E11" s="277">
        <v>14693838</v>
      </c>
    </row>
    <row r="12" spans="1:6" ht="14" x14ac:dyDescent="0.15">
      <c r="A12" s="209" t="str">
        <f t="shared" si="1"/>
        <v>2021-06</v>
      </c>
      <c r="B12" s="167">
        <f t="shared" si="0"/>
        <v>7.4593550000000004</v>
      </c>
      <c r="D12" s="286" t="s">
        <v>183</v>
      </c>
      <c r="E12" s="277">
        <v>7459355</v>
      </c>
    </row>
    <row r="13" spans="1:6" ht="14" x14ac:dyDescent="0.15">
      <c r="A13" s="209" t="str">
        <f t="shared" si="1"/>
        <v>2021-07</v>
      </c>
      <c r="B13" s="167">
        <f t="shared" si="0"/>
        <v>6.8085690000000003</v>
      </c>
      <c r="D13" s="286" t="s">
        <v>184</v>
      </c>
      <c r="E13" s="277">
        <v>6808569</v>
      </c>
    </row>
    <row r="14" spans="1:6" ht="14" x14ac:dyDescent="0.15">
      <c r="A14" s="209" t="str">
        <f t="shared" si="1"/>
        <v>2021-08</v>
      </c>
      <c r="B14" s="167">
        <f t="shared" si="0"/>
        <v>6.6067470000000004</v>
      </c>
      <c r="D14" s="286" t="s">
        <v>185</v>
      </c>
      <c r="E14" s="277">
        <v>6606747</v>
      </c>
    </row>
    <row r="15" spans="1:6" ht="14" x14ac:dyDescent="0.15">
      <c r="A15" s="209" t="str">
        <f t="shared" si="1"/>
        <v>2021-09</v>
      </c>
      <c r="B15" s="167">
        <f t="shared" si="0"/>
        <v>6.6231619999999998</v>
      </c>
      <c r="D15" s="286" t="s">
        <v>186</v>
      </c>
      <c r="E15" s="277">
        <v>6623162</v>
      </c>
    </row>
    <row r="16" spans="1:6" x14ac:dyDescent="0.15">
      <c r="A16" s="210" t="s">
        <v>15</v>
      </c>
      <c r="B16" s="167">
        <f>SUM(B4:B15)</f>
        <v>125.124663</v>
      </c>
      <c r="D16" s="210" t="s">
        <v>15</v>
      </c>
      <c r="E16" s="211">
        <f>SUM(E4:E15)</f>
        <v>125124663</v>
      </c>
    </row>
    <row r="17" spans="1:5" x14ac:dyDescent="0.15">
      <c r="A17" s="181" t="s">
        <v>29</v>
      </c>
      <c r="B17" s="166">
        <f>AVERAGE(B4:B15)</f>
        <v>10.42705525</v>
      </c>
      <c r="D17" s="72" t="s">
        <v>163</v>
      </c>
    </row>
    <row r="18" spans="1:5" x14ac:dyDescent="0.15">
      <c r="A18" s="270" t="s">
        <v>188</v>
      </c>
      <c r="B18" s="278">
        <v>125.124663</v>
      </c>
    </row>
    <row r="20" spans="1:5" x14ac:dyDescent="0.15">
      <c r="A20" s="72" t="s">
        <v>30</v>
      </c>
      <c r="B20" s="171"/>
      <c r="C20" s="67"/>
      <c r="D20" s="67"/>
      <c r="E20" s="67"/>
    </row>
    <row r="21" spans="1:5" x14ac:dyDescent="0.15">
      <c r="A21" s="172" t="s">
        <v>16</v>
      </c>
      <c r="B21" s="173" t="s">
        <v>81</v>
      </c>
      <c r="C21" s="79"/>
      <c r="D21" s="79"/>
      <c r="E21" s="79"/>
    </row>
    <row r="22" spans="1:5" x14ac:dyDescent="0.15">
      <c r="A22" s="174">
        <v>44105</v>
      </c>
      <c r="B22" s="180">
        <f t="shared" ref="B22:B33" si="2">B4-B$17</f>
        <v>-2.6436782500000007</v>
      </c>
      <c r="C22" s="80"/>
      <c r="D22" s="80"/>
    </row>
    <row r="23" spans="1:5" x14ac:dyDescent="0.15">
      <c r="A23" s="174">
        <v>44136</v>
      </c>
      <c r="B23" s="180">
        <f t="shared" si="2"/>
        <v>-2.1753522500000013</v>
      </c>
    </row>
    <row r="24" spans="1:5" x14ac:dyDescent="0.15">
      <c r="A24" s="174">
        <v>44166</v>
      </c>
      <c r="B24" s="180">
        <f t="shared" si="2"/>
        <v>-1.1220112499999999</v>
      </c>
    </row>
    <row r="25" spans="1:5" x14ac:dyDescent="0.15">
      <c r="A25" s="174">
        <v>44197</v>
      </c>
      <c r="B25" s="180">
        <f t="shared" si="2"/>
        <v>3.056038749999999</v>
      </c>
    </row>
    <row r="26" spans="1:5" x14ac:dyDescent="0.15">
      <c r="A26" s="174">
        <v>44228</v>
      </c>
      <c r="B26" s="180">
        <f t="shared" si="2"/>
        <v>2.6703087500000002</v>
      </c>
    </row>
    <row r="27" spans="1:5" x14ac:dyDescent="0.15">
      <c r="A27" s="174">
        <v>44256</v>
      </c>
      <c r="B27" s="180">
        <f t="shared" si="2"/>
        <v>6.381347749999998</v>
      </c>
    </row>
    <row r="28" spans="1:5" x14ac:dyDescent="0.15">
      <c r="A28" s="174">
        <v>44287</v>
      </c>
      <c r="B28" s="180">
        <f t="shared" si="2"/>
        <v>3.7769517500000003</v>
      </c>
    </row>
    <row r="29" spans="1:5" x14ac:dyDescent="0.15">
      <c r="A29" s="174">
        <v>44317</v>
      </c>
      <c r="B29" s="180">
        <f t="shared" si="2"/>
        <v>4.2667827499999991</v>
      </c>
    </row>
    <row r="30" spans="1:5" x14ac:dyDescent="0.15">
      <c r="A30" s="174">
        <v>44348</v>
      </c>
      <c r="B30" s="180">
        <f t="shared" si="2"/>
        <v>-2.96770025</v>
      </c>
    </row>
    <row r="31" spans="1:5" x14ac:dyDescent="0.15">
      <c r="A31" s="174">
        <v>44378</v>
      </c>
      <c r="B31" s="180">
        <f t="shared" si="2"/>
        <v>-3.6184862500000001</v>
      </c>
    </row>
    <row r="32" spans="1:5" x14ac:dyDescent="0.15">
      <c r="A32" s="174">
        <v>44409</v>
      </c>
      <c r="B32" s="180">
        <f t="shared" si="2"/>
        <v>-3.8203082500000001</v>
      </c>
    </row>
    <row r="33" spans="1:5" x14ac:dyDescent="0.15">
      <c r="A33" s="174">
        <v>44440</v>
      </c>
      <c r="B33" s="180">
        <f t="shared" si="2"/>
        <v>-3.8038932500000007</v>
      </c>
    </row>
    <row r="34" spans="1:5" x14ac:dyDescent="0.15">
      <c r="A34" s="172" t="s">
        <v>11</v>
      </c>
      <c r="B34" s="184">
        <f>SUM(B22:B33)</f>
        <v>-6.2172489379008766E-15</v>
      </c>
    </row>
    <row r="35" spans="1:5" x14ac:dyDescent="0.15">
      <c r="B35" s="81"/>
      <c r="C35" s="81"/>
      <c r="D35" s="81"/>
      <c r="E35" s="81"/>
    </row>
    <row r="36" spans="1:5" x14ac:dyDescent="0.15">
      <c r="A36" s="72" t="s">
        <v>31</v>
      </c>
      <c r="B36" s="171"/>
      <c r="C36" s="67"/>
      <c r="D36" s="67"/>
      <c r="E36" s="67"/>
    </row>
    <row r="37" spans="1:5" x14ac:dyDescent="0.15">
      <c r="A37" s="172" t="s">
        <v>16</v>
      </c>
      <c r="B37" s="173" t="s">
        <v>81</v>
      </c>
      <c r="C37" s="79"/>
      <c r="D37" s="79"/>
      <c r="E37" s="79"/>
    </row>
    <row r="38" spans="1:5" x14ac:dyDescent="0.15">
      <c r="A38" s="174">
        <f>A22</f>
        <v>44105</v>
      </c>
      <c r="B38" s="180">
        <f>B4-B3</f>
        <v>-3.42300000000062E-3</v>
      </c>
    </row>
    <row r="39" spans="1:5" x14ac:dyDescent="0.15">
      <c r="A39" s="174">
        <f t="shared" ref="A39:A49" si="3">A23</f>
        <v>44136</v>
      </c>
      <c r="B39" s="180">
        <f>B5-B4</f>
        <v>0.46832599999999935</v>
      </c>
      <c r="C39" s="82"/>
    </row>
    <row r="40" spans="1:5" x14ac:dyDescent="0.15">
      <c r="A40" s="174">
        <f t="shared" si="3"/>
        <v>44166</v>
      </c>
      <c r="B40" s="180">
        <f t="shared" ref="B40:B49" si="4">B6-B5</f>
        <v>1.0533410000000014</v>
      </c>
      <c r="C40" s="82"/>
    </row>
    <row r="41" spans="1:5" x14ac:dyDescent="0.15">
      <c r="A41" s="174">
        <f>A25</f>
        <v>44197</v>
      </c>
      <c r="B41" s="180">
        <f t="shared" si="4"/>
        <v>4.1780499999999989</v>
      </c>
      <c r="C41" s="82"/>
    </row>
    <row r="42" spans="1:5" x14ac:dyDescent="0.15">
      <c r="A42" s="174">
        <f>A26</f>
        <v>44228</v>
      </c>
      <c r="B42" s="180">
        <f t="shared" si="4"/>
        <v>-0.3857299999999988</v>
      </c>
      <c r="C42" s="82"/>
    </row>
    <row r="43" spans="1:5" x14ac:dyDescent="0.15">
      <c r="A43" s="174">
        <f t="shared" si="3"/>
        <v>44256</v>
      </c>
      <c r="B43" s="180">
        <f t="shared" si="4"/>
        <v>3.7110389999999978</v>
      </c>
      <c r="C43" s="82"/>
    </row>
    <row r="44" spans="1:5" x14ac:dyDescent="0.15">
      <c r="A44" s="174">
        <f t="shared" si="3"/>
        <v>44287</v>
      </c>
      <c r="B44" s="180">
        <f t="shared" si="4"/>
        <v>-2.6043959999999977</v>
      </c>
      <c r="C44" s="82"/>
    </row>
    <row r="45" spans="1:5" x14ac:dyDescent="0.15">
      <c r="A45" s="174">
        <f t="shared" si="3"/>
        <v>44317</v>
      </c>
      <c r="B45" s="180">
        <f t="shared" si="4"/>
        <v>0.4898309999999988</v>
      </c>
      <c r="C45" s="82"/>
    </row>
    <row r="46" spans="1:5" x14ac:dyDescent="0.15">
      <c r="A46" s="174">
        <f t="shared" si="3"/>
        <v>44348</v>
      </c>
      <c r="B46" s="180">
        <f t="shared" si="4"/>
        <v>-7.2344829999999991</v>
      </c>
      <c r="C46" s="82"/>
    </row>
    <row r="47" spans="1:5" x14ac:dyDescent="0.15">
      <c r="A47" s="174">
        <f t="shared" si="3"/>
        <v>44378</v>
      </c>
      <c r="B47" s="180">
        <f t="shared" si="4"/>
        <v>-0.65078600000000009</v>
      </c>
      <c r="C47" s="82"/>
    </row>
    <row r="48" spans="1:5" x14ac:dyDescent="0.15">
      <c r="A48" s="174">
        <f t="shared" si="3"/>
        <v>44409</v>
      </c>
      <c r="B48" s="180">
        <f t="shared" si="4"/>
        <v>-0.20182199999999995</v>
      </c>
      <c r="C48" s="82"/>
    </row>
    <row r="49" spans="1:9" x14ac:dyDescent="0.15">
      <c r="A49" s="174">
        <f t="shared" si="3"/>
        <v>44440</v>
      </c>
      <c r="B49" s="180">
        <f t="shared" si="4"/>
        <v>1.6414999999999402E-2</v>
      </c>
      <c r="C49" s="82"/>
      <c r="F49" s="82"/>
    </row>
    <row r="50" spans="1:9" x14ac:dyDescent="0.15">
      <c r="A50" s="172" t="s">
        <v>11</v>
      </c>
      <c r="B50" s="180">
        <f>SUM(B38:B49)</f>
        <v>-1.1636379999999997</v>
      </c>
      <c r="F50" s="82"/>
    </row>
    <row r="54" spans="1:9" x14ac:dyDescent="0.15">
      <c r="A54" s="71" t="s">
        <v>33</v>
      </c>
    </row>
    <row r="55" spans="1:9" ht="14" x14ac:dyDescent="0.15">
      <c r="A55" s="208" t="s">
        <v>23</v>
      </c>
      <c r="B55" s="173" t="s">
        <v>81</v>
      </c>
      <c r="D55" s="73" t="s">
        <v>34</v>
      </c>
      <c r="E55" s="74" t="s">
        <v>81</v>
      </c>
    </row>
    <row r="56" spans="1:9" ht="14" x14ac:dyDescent="0.15">
      <c r="A56" s="209" t="str">
        <f>D56</f>
        <v>2020-09</v>
      </c>
      <c r="B56" s="167">
        <f t="shared" ref="B56:B68" si="5">E56/1024</f>
        <v>93.805392740116702</v>
      </c>
      <c r="D56" s="284" t="str">
        <f>D3</f>
        <v>2020-09</v>
      </c>
      <c r="E56" s="276">
        <v>96056.722165879502</v>
      </c>
      <c r="F56" s="123" t="s">
        <v>97</v>
      </c>
    </row>
    <row r="57" spans="1:9" ht="14" x14ac:dyDescent="0.15">
      <c r="A57" s="209" t="str">
        <f t="shared" ref="A57:A68" si="6">D57</f>
        <v>2020-10</v>
      </c>
      <c r="B57" s="167">
        <f t="shared" si="5"/>
        <v>90.029824482350534</v>
      </c>
      <c r="D57" s="284" t="str">
        <f t="shared" ref="D57:D68" si="7">D4</f>
        <v>2020-10</v>
      </c>
      <c r="E57" s="276">
        <v>92190.540269926947</v>
      </c>
    </row>
    <row r="58" spans="1:9" ht="14" x14ac:dyDescent="0.15">
      <c r="A58" s="209" t="str">
        <f t="shared" si="6"/>
        <v>2020-11</v>
      </c>
      <c r="B58" s="167">
        <f t="shared" si="5"/>
        <v>98.556589199135288</v>
      </c>
      <c r="D58" s="284" t="str">
        <f t="shared" si="7"/>
        <v>2020-11</v>
      </c>
      <c r="E58" s="276">
        <v>100921.94733991454</v>
      </c>
    </row>
    <row r="59" spans="1:9" ht="14" x14ac:dyDescent="0.15">
      <c r="A59" s="209" t="str">
        <f t="shared" si="6"/>
        <v>2020-12</v>
      </c>
      <c r="B59" s="167">
        <f t="shared" si="5"/>
        <v>126.88992635909459</v>
      </c>
      <c r="D59" s="284" t="str">
        <f t="shared" si="7"/>
        <v>2020-12</v>
      </c>
      <c r="E59" s="276">
        <v>129935.28459171286</v>
      </c>
      <c r="I59" s="76" t="s">
        <v>82</v>
      </c>
    </row>
    <row r="60" spans="1:9" ht="14" x14ac:dyDescent="0.15">
      <c r="A60" s="209" t="str">
        <f t="shared" si="6"/>
        <v>2021-01</v>
      </c>
      <c r="B60" s="167">
        <f t="shared" si="5"/>
        <v>257.01841898704367</v>
      </c>
      <c r="D60" s="284" t="str">
        <f t="shared" si="7"/>
        <v>2021-01</v>
      </c>
      <c r="E60" s="276">
        <v>263186.86104273272</v>
      </c>
    </row>
    <row r="61" spans="1:9" ht="14" x14ac:dyDescent="0.15">
      <c r="A61" s="209" t="str">
        <f t="shared" si="6"/>
        <v>2021-02</v>
      </c>
      <c r="B61" s="167">
        <f t="shared" si="5"/>
        <v>256.79547189331578</v>
      </c>
      <c r="D61" s="284" t="str">
        <f t="shared" si="7"/>
        <v>2021-02</v>
      </c>
      <c r="E61" s="276">
        <v>262958.56321875536</v>
      </c>
    </row>
    <row r="62" spans="1:9" ht="14" x14ac:dyDescent="0.15">
      <c r="A62" s="209" t="str">
        <f t="shared" si="6"/>
        <v>2021-03</v>
      </c>
      <c r="B62" s="167">
        <f t="shared" si="5"/>
        <v>344.88341406552593</v>
      </c>
      <c r="D62" s="284" t="str">
        <f t="shared" si="7"/>
        <v>2021-03</v>
      </c>
      <c r="E62" s="276">
        <v>353160.61600309855</v>
      </c>
    </row>
    <row r="63" spans="1:9" ht="14" x14ac:dyDescent="0.15">
      <c r="A63" s="209" t="str">
        <f t="shared" si="6"/>
        <v>2021-04</v>
      </c>
      <c r="B63" s="167">
        <f t="shared" si="5"/>
        <v>302.21074698320177</v>
      </c>
      <c r="D63" s="284" t="str">
        <f t="shared" si="7"/>
        <v>2021-04</v>
      </c>
      <c r="E63" s="276">
        <v>309463.80491079862</v>
      </c>
    </row>
    <row r="64" spans="1:9" ht="14" x14ac:dyDescent="0.15">
      <c r="A64" s="209" t="str">
        <f t="shared" si="6"/>
        <v>2021-05</v>
      </c>
      <c r="B64" s="167">
        <f t="shared" si="5"/>
        <v>341.01095996622729</v>
      </c>
      <c r="D64" s="284" t="str">
        <f t="shared" si="7"/>
        <v>2021-05</v>
      </c>
      <c r="E64" s="276">
        <v>349195.22300541674</v>
      </c>
    </row>
    <row r="65" spans="1:5" ht="14" x14ac:dyDescent="0.15">
      <c r="A65" s="209" t="str">
        <f t="shared" si="6"/>
        <v>2021-06</v>
      </c>
      <c r="B65" s="167">
        <f t="shared" si="5"/>
        <v>128.23899826814048</v>
      </c>
      <c r="D65" s="284" t="str">
        <f t="shared" si="7"/>
        <v>2021-06</v>
      </c>
      <c r="E65" s="276">
        <v>131316.73422657585</v>
      </c>
    </row>
    <row r="66" spans="1:5" ht="14" x14ac:dyDescent="0.15">
      <c r="A66" s="209" t="str">
        <f t="shared" si="6"/>
        <v>2021-07</v>
      </c>
      <c r="B66" s="167">
        <f t="shared" si="5"/>
        <v>115.2449207655016</v>
      </c>
      <c r="D66" s="284" t="str">
        <f t="shared" si="7"/>
        <v>2021-07</v>
      </c>
      <c r="E66" s="276">
        <v>118010.79886387364</v>
      </c>
    </row>
    <row r="67" spans="1:5" ht="14" x14ac:dyDescent="0.15">
      <c r="A67" s="209" t="str">
        <f t="shared" si="6"/>
        <v>2021-08</v>
      </c>
      <c r="B67" s="167">
        <f t="shared" si="5"/>
        <v>117.12909918734729</v>
      </c>
      <c r="D67" s="284" t="str">
        <f t="shared" si="7"/>
        <v>2021-08</v>
      </c>
      <c r="E67" s="276">
        <v>119940.19756784363</v>
      </c>
    </row>
    <row r="68" spans="1:5" ht="14" x14ac:dyDescent="0.15">
      <c r="A68" s="209" t="str">
        <f t="shared" si="6"/>
        <v>2021-09</v>
      </c>
      <c r="B68" s="167">
        <f t="shared" si="5"/>
        <v>109.2267001012514</v>
      </c>
      <c r="D68" s="284" t="str">
        <f t="shared" si="7"/>
        <v>2021-09</v>
      </c>
      <c r="E68" s="276">
        <v>111848.14090368143</v>
      </c>
    </row>
    <row r="69" spans="1:5" x14ac:dyDescent="0.15">
      <c r="A69" s="231" t="s">
        <v>120</v>
      </c>
      <c r="B69" s="167">
        <f>SUM(B57:B68)</f>
        <v>2287.2350702581357</v>
      </c>
      <c r="D69" s="285" t="s">
        <v>15</v>
      </c>
      <c r="E69" s="167">
        <f>SUM(E57:E68)</f>
        <v>2342128.7119443309</v>
      </c>
    </row>
    <row r="70" spans="1:5" x14ac:dyDescent="0.15">
      <c r="A70" s="72" t="s">
        <v>29</v>
      </c>
      <c r="B70" s="75">
        <f>AVERAGE(B57:B68)</f>
        <v>190.60292252151132</v>
      </c>
      <c r="D70" s="72" t="s">
        <v>163</v>
      </c>
    </row>
    <row r="71" spans="1:5" x14ac:dyDescent="0.15">
      <c r="A71" s="270" t="s">
        <v>188</v>
      </c>
      <c r="B71" s="278">
        <v>2287.2350702581357</v>
      </c>
    </row>
    <row r="73" spans="1:5" x14ac:dyDescent="0.15">
      <c r="A73" s="72" t="s">
        <v>30</v>
      </c>
      <c r="B73" s="171"/>
      <c r="C73" s="67"/>
      <c r="D73" s="67"/>
      <c r="E73" s="67"/>
    </row>
    <row r="74" spans="1:5" x14ac:dyDescent="0.15">
      <c r="A74" s="172" t="s">
        <v>16</v>
      </c>
      <c r="B74" s="173" t="s">
        <v>81</v>
      </c>
      <c r="C74" s="79"/>
      <c r="D74" s="79"/>
      <c r="E74" s="79"/>
    </row>
    <row r="75" spans="1:5" x14ac:dyDescent="0.15">
      <c r="A75" s="174">
        <f>A38</f>
        <v>44105</v>
      </c>
      <c r="B75" s="180">
        <f>B57-B$70</f>
        <v>-100.57309803916078</v>
      </c>
      <c r="C75" s="80"/>
      <c r="D75" s="80"/>
    </row>
    <row r="76" spans="1:5" x14ac:dyDescent="0.15">
      <c r="A76" s="174">
        <f t="shared" ref="A76:A86" si="8">A39</f>
        <v>44136</v>
      </c>
      <c r="B76" s="180">
        <f t="shared" ref="B76:B86" si="9">B58-B$70</f>
        <v>-92.046333322376029</v>
      </c>
    </row>
    <row r="77" spans="1:5" x14ac:dyDescent="0.15">
      <c r="A77" s="174">
        <f t="shared" si="8"/>
        <v>44166</v>
      </c>
      <c r="B77" s="180">
        <f t="shared" si="9"/>
        <v>-63.712996162416729</v>
      </c>
    </row>
    <row r="78" spans="1:5" x14ac:dyDescent="0.15">
      <c r="A78" s="174">
        <f t="shared" si="8"/>
        <v>44197</v>
      </c>
      <c r="B78" s="180">
        <f t="shared" si="9"/>
        <v>66.415496465532357</v>
      </c>
    </row>
    <row r="79" spans="1:5" x14ac:dyDescent="0.15">
      <c r="A79" s="174">
        <f t="shared" si="8"/>
        <v>44228</v>
      </c>
      <c r="B79" s="180">
        <f t="shared" si="9"/>
        <v>66.192549371804461</v>
      </c>
    </row>
    <row r="80" spans="1:5" x14ac:dyDescent="0.15">
      <c r="A80" s="174">
        <f t="shared" si="8"/>
        <v>44256</v>
      </c>
      <c r="B80" s="180">
        <f t="shared" si="9"/>
        <v>154.28049154401461</v>
      </c>
    </row>
    <row r="81" spans="1:5" x14ac:dyDescent="0.15">
      <c r="A81" s="174">
        <f t="shared" si="8"/>
        <v>44287</v>
      </c>
      <c r="B81" s="180">
        <f t="shared" si="9"/>
        <v>111.60782446169046</v>
      </c>
    </row>
    <row r="82" spans="1:5" x14ac:dyDescent="0.15">
      <c r="A82" s="174">
        <f t="shared" si="8"/>
        <v>44317</v>
      </c>
      <c r="B82" s="180">
        <f t="shared" si="9"/>
        <v>150.40803744471597</v>
      </c>
    </row>
    <row r="83" spans="1:5" x14ac:dyDescent="0.15">
      <c r="A83" s="174">
        <f t="shared" si="8"/>
        <v>44348</v>
      </c>
      <c r="B83" s="180">
        <f t="shared" si="9"/>
        <v>-62.36392425337084</v>
      </c>
    </row>
    <row r="84" spans="1:5" x14ac:dyDescent="0.15">
      <c r="A84" s="174">
        <f t="shared" si="8"/>
        <v>44378</v>
      </c>
      <c r="B84" s="180">
        <f t="shared" si="9"/>
        <v>-75.358001756009713</v>
      </c>
    </row>
    <row r="85" spans="1:5" x14ac:dyDescent="0.15">
      <c r="A85" s="174">
        <f t="shared" si="8"/>
        <v>44409</v>
      </c>
      <c r="B85" s="180">
        <f t="shared" si="9"/>
        <v>-73.473823334164024</v>
      </c>
    </row>
    <row r="86" spans="1:5" x14ac:dyDescent="0.15">
      <c r="A86" s="174">
        <f t="shared" si="8"/>
        <v>44440</v>
      </c>
      <c r="B86" s="180">
        <f t="shared" si="9"/>
        <v>-81.376222420259921</v>
      </c>
    </row>
    <row r="87" spans="1:5" x14ac:dyDescent="0.15">
      <c r="A87" s="172" t="s">
        <v>11</v>
      </c>
      <c r="B87" s="184">
        <f>SUM(B75:B86)</f>
        <v>-1.9895196601282805E-13</v>
      </c>
    </row>
    <row r="88" spans="1:5" x14ac:dyDescent="0.15">
      <c r="B88" s="81"/>
      <c r="C88" s="81"/>
      <c r="D88" s="81"/>
      <c r="E88" s="81"/>
    </row>
    <row r="89" spans="1:5" x14ac:dyDescent="0.15">
      <c r="A89" s="72" t="s">
        <v>31</v>
      </c>
      <c r="B89" s="77"/>
      <c r="C89" s="67"/>
      <c r="D89" s="67"/>
      <c r="E89" s="67"/>
    </row>
    <row r="90" spans="1:5" x14ac:dyDescent="0.15">
      <c r="A90" s="181" t="s">
        <v>16</v>
      </c>
      <c r="B90" s="173" t="s">
        <v>81</v>
      </c>
      <c r="C90" s="78"/>
      <c r="D90" s="79"/>
      <c r="E90" s="79"/>
    </row>
    <row r="91" spans="1:5" x14ac:dyDescent="0.15">
      <c r="A91" s="182">
        <f>A75</f>
        <v>44105</v>
      </c>
      <c r="B91" s="168">
        <f>B57-B56</f>
        <v>-3.7755682577661673</v>
      </c>
    </row>
    <row r="92" spans="1:5" x14ac:dyDescent="0.15">
      <c r="A92" s="182">
        <f t="shared" ref="A92:A102" si="10">A76</f>
        <v>44136</v>
      </c>
      <c r="B92" s="168">
        <f>B58-B57</f>
        <v>8.5267647167847542</v>
      </c>
      <c r="C92" s="82"/>
    </row>
    <row r="93" spans="1:5" x14ac:dyDescent="0.15">
      <c r="A93" s="182">
        <f t="shared" si="10"/>
        <v>44166</v>
      </c>
      <c r="B93" s="168">
        <f t="shared" ref="B93:B102" si="11">B59-B58</f>
        <v>28.333337159959299</v>
      </c>
      <c r="C93" s="82"/>
    </row>
    <row r="94" spans="1:5" x14ac:dyDescent="0.15">
      <c r="A94" s="182">
        <f t="shared" si="10"/>
        <v>44197</v>
      </c>
      <c r="B94" s="168">
        <f t="shared" si="11"/>
        <v>130.12849262794907</v>
      </c>
      <c r="C94" s="82"/>
    </row>
    <row r="95" spans="1:5" x14ac:dyDescent="0.15">
      <c r="A95" s="182">
        <f t="shared" si="10"/>
        <v>44228</v>
      </c>
      <c r="B95" s="168">
        <f t="shared" si="11"/>
        <v>-0.22294709372789612</v>
      </c>
      <c r="C95" s="82"/>
    </row>
    <row r="96" spans="1:5" x14ac:dyDescent="0.15">
      <c r="A96" s="182">
        <f t="shared" si="10"/>
        <v>44256</v>
      </c>
      <c r="B96" s="168">
        <f t="shared" si="11"/>
        <v>88.087942172210148</v>
      </c>
      <c r="C96" s="82"/>
    </row>
    <row r="97" spans="1:11" x14ac:dyDescent="0.15">
      <c r="A97" s="182">
        <f t="shared" si="10"/>
        <v>44287</v>
      </c>
      <c r="B97" s="168">
        <f t="shared" si="11"/>
        <v>-42.672667082324153</v>
      </c>
      <c r="C97" s="82"/>
    </row>
    <row r="98" spans="1:11" x14ac:dyDescent="0.15">
      <c r="A98" s="182">
        <f t="shared" si="10"/>
        <v>44317</v>
      </c>
      <c r="B98" s="168">
        <f t="shared" si="11"/>
        <v>38.800212983025517</v>
      </c>
      <c r="C98" s="82"/>
    </row>
    <row r="99" spans="1:11" x14ac:dyDescent="0.15">
      <c r="A99" s="182">
        <f t="shared" si="10"/>
        <v>44348</v>
      </c>
      <c r="B99" s="168">
        <f t="shared" si="11"/>
        <v>-212.77196169808681</v>
      </c>
      <c r="C99" s="82"/>
    </row>
    <row r="100" spans="1:11" x14ac:dyDescent="0.15">
      <c r="A100" s="182">
        <f t="shared" si="10"/>
        <v>44378</v>
      </c>
      <c r="B100" s="168">
        <f t="shared" si="11"/>
        <v>-12.994077502638874</v>
      </c>
      <c r="C100" s="82"/>
    </row>
    <row r="101" spans="1:11" x14ac:dyDescent="0.15">
      <c r="A101" s="182">
        <f t="shared" si="10"/>
        <v>44409</v>
      </c>
      <c r="B101" s="168">
        <f t="shared" si="11"/>
        <v>1.8841784218456894</v>
      </c>
      <c r="C101" s="82"/>
    </row>
    <row r="102" spans="1:11" x14ac:dyDescent="0.15">
      <c r="A102" s="182">
        <f t="shared" si="10"/>
        <v>44440</v>
      </c>
      <c r="B102" s="168">
        <f t="shared" si="11"/>
        <v>-7.9023990860958975</v>
      </c>
      <c r="C102" s="82"/>
    </row>
    <row r="106" spans="1:11" x14ac:dyDescent="0.15">
      <c r="A106" s="71" t="s">
        <v>35</v>
      </c>
      <c r="D106" s="72" t="s">
        <v>95</v>
      </c>
    </row>
    <row r="107" spans="1:11" ht="14" x14ac:dyDescent="0.15">
      <c r="A107" s="73" t="s">
        <v>18</v>
      </c>
      <c r="B107" s="74" t="s">
        <v>81</v>
      </c>
      <c r="D107" s="72" t="s">
        <v>126</v>
      </c>
      <c r="I107" s="262" t="s">
        <v>167</v>
      </c>
      <c r="J107" s="262"/>
      <c r="K107" s="262"/>
    </row>
    <row r="108" spans="1:11" ht="14" x14ac:dyDescent="0.15">
      <c r="A108" s="209" t="str">
        <f>A56</f>
        <v>2020-09</v>
      </c>
      <c r="B108" s="268">
        <v>630</v>
      </c>
      <c r="C108" s="123" t="s">
        <v>97</v>
      </c>
      <c r="I108" s="263">
        <v>391785</v>
      </c>
    </row>
    <row r="109" spans="1:11" ht="14" x14ac:dyDescent="0.15">
      <c r="A109" s="209" t="str">
        <f t="shared" ref="A109:A120" si="12">A57</f>
        <v>2020-10</v>
      </c>
      <c r="B109" s="268">
        <v>617</v>
      </c>
    </row>
    <row r="110" spans="1:11" ht="14" x14ac:dyDescent="0.15">
      <c r="A110" s="209" t="str">
        <f t="shared" si="12"/>
        <v>2020-11</v>
      </c>
      <c r="B110" s="269">
        <v>382</v>
      </c>
    </row>
    <row r="111" spans="1:11" ht="14" x14ac:dyDescent="0.15">
      <c r="A111" s="209" t="str">
        <f t="shared" si="12"/>
        <v>2020-12</v>
      </c>
      <c r="B111" s="269">
        <v>460</v>
      </c>
    </row>
    <row r="112" spans="1:11" ht="14" x14ac:dyDescent="0.15">
      <c r="A112" s="209" t="str">
        <f t="shared" si="12"/>
        <v>2021-01</v>
      </c>
      <c r="B112" s="269">
        <v>510</v>
      </c>
    </row>
    <row r="113" spans="1:5" ht="14" x14ac:dyDescent="0.15">
      <c r="A113" s="209" t="str">
        <f t="shared" si="12"/>
        <v>2021-02</v>
      </c>
      <c r="B113" s="269">
        <v>538</v>
      </c>
    </row>
    <row r="114" spans="1:5" ht="14" x14ac:dyDescent="0.15">
      <c r="A114" s="209" t="str">
        <f t="shared" si="12"/>
        <v>2021-03</v>
      </c>
      <c r="B114" s="269">
        <v>618</v>
      </c>
    </row>
    <row r="115" spans="1:5" ht="14" x14ac:dyDescent="0.15">
      <c r="A115" s="209" t="str">
        <f t="shared" si="12"/>
        <v>2021-04</v>
      </c>
      <c r="B115" s="269">
        <v>401</v>
      </c>
    </row>
    <row r="116" spans="1:5" ht="14" x14ac:dyDescent="0.15">
      <c r="A116" s="209" t="str">
        <f t="shared" si="12"/>
        <v>2021-05</v>
      </c>
      <c r="B116" s="269">
        <v>398</v>
      </c>
    </row>
    <row r="117" spans="1:5" ht="14" x14ac:dyDescent="0.15">
      <c r="A117" s="209" t="str">
        <f t="shared" si="12"/>
        <v>2021-06</v>
      </c>
      <c r="B117" s="269">
        <v>411</v>
      </c>
    </row>
    <row r="118" spans="1:5" ht="14" x14ac:dyDescent="0.15">
      <c r="A118" s="209" t="str">
        <f t="shared" si="12"/>
        <v>2021-07</v>
      </c>
      <c r="B118" s="269">
        <v>488</v>
      </c>
    </row>
    <row r="119" spans="1:5" ht="14" x14ac:dyDescent="0.15">
      <c r="A119" s="209" t="str">
        <f t="shared" si="12"/>
        <v>2021-08</v>
      </c>
      <c r="B119" s="269">
        <v>614</v>
      </c>
    </row>
    <row r="120" spans="1:5" ht="14" x14ac:dyDescent="0.15">
      <c r="A120" s="209" t="str">
        <f t="shared" si="12"/>
        <v>2021-09</v>
      </c>
      <c r="B120" s="269">
        <v>567</v>
      </c>
    </row>
    <row r="121" spans="1:5" x14ac:dyDescent="0.15">
      <c r="A121" s="231" t="s">
        <v>119</v>
      </c>
      <c r="B121" s="170">
        <f>SUM(B109:B120)</f>
        <v>6004</v>
      </c>
    </row>
    <row r="122" spans="1:5" x14ac:dyDescent="0.15">
      <c r="A122" s="72" t="s">
        <v>29</v>
      </c>
      <c r="B122" s="160">
        <f>AVERAGE(B109:B120)</f>
        <v>500.33333333333331</v>
      </c>
    </row>
    <row r="123" spans="1:5" x14ac:dyDescent="0.15">
      <c r="A123" s="270" t="s">
        <v>187</v>
      </c>
      <c r="B123" s="271">
        <v>6004</v>
      </c>
      <c r="C123" s="214">
        <f>(B123-B124)/B124</f>
        <v>0.36858901299293367</v>
      </c>
      <c r="D123" s="72" t="s">
        <v>96</v>
      </c>
    </row>
    <row r="124" spans="1:5" x14ac:dyDescent="0.15">
      <c r="A124" s="270" t="s">
        <v>159</v>
      </c>
      <c r="B124" s="271">
        <v>4387</v>
      </c>
      <c r="D124" s="72" t="s">
        <v>96</v>
      </c>
    </row>
    <row r="125" spans="1:5" x14ac:dyDescent="0.15">
      <c r="C125" s="67"/>
      <c r="D125" s="67"/>
      <c r="E125" s="67"/>
    </row>
    <row r="126" spans="1:5" x14ac:dyDescent="0.15">
      <c r="A126" s="71" t="s">
        <v>30</v>
      </c>
      <c r="B126" s="171"/>
      <c r="C126" s="79"/>
      <c r="D126" s="79"/>
      <c r="E126" s="79"/>
    </row>
    <row r="127" spans="1:5" x14ac:dyDescent="0.15">
      <c r="A127" s="172" t="s">
        <v>16</v>
      </c>
      <c r="B127" s="173" t="s">
        <v>81</v>
      </c>
      <c r="C127" s="80"/>
      <c r="D127" s="80"/>
    </row>
    <row r="128" spans="1:5" x14ac:dyDescent="0.15">
      <c r="A128" s="174">
        <f>A91</f>
        <v>44105</v>
      </c>
      <c r="B128" s="175">
        <f t="shared" ref="B128:B139" si="13">B109-B$122</f>
        <v>116.66666666666669</v>
      </c>
    </row>
    <row r="129" spans="1:5" x14ac:dyDescent="0.15">
      <c r="A129" s="174">
        <f t="shared" ref="A129:A139" si="14">A92</f>
        <v>44136</v>
      </c>
      <c r="B129" s="175">
        <f>B110-B$122</f>
        <v>-118.33333333333331</v>
      </c>
    </row>
    <row r="130" spans="1:5" x14ac:dyDescent="0.15">
      <c r="A130" s="174">
        <f t="shared" si="14"/>
        <v>44166</v>
      </c>
      <c r="B130" s="175">
        <f>B111-B$122</f>
        <v>-40.333333333333314</v>
      </c>
    </row>
    <row r="131" spans="1:5" x14ac:dyDescent="0.15">
      <c r="A131" s="174">
        <f t="shared" si="14"/>
        <v>44197</v>
      </c>
      <c r="B131" s="175">
        <f t="shared" si="13"/>
        <v>9.6666666666666856</v>
      </c>
    </row>
    <row r="132" spans="1:5" x14ac:dyDescent="0.15">
      <c r="A132" s="174">
        <f t="shared" si="14"/>
        <v>44228</v>
      </c>
      <c r="B132" s="175">
        <f t="shared" si="13"/>
        <v>37.666666666666686</v>
      </c>
    </row>
    <row r="133" spans="1:5" x14ac:dyDescent="0.15">
      <c r="A133" s="174">
        <f t="shared" si="14"/>
        <v>44256</v>
      </c>
      <c r="B133" s="175">
        <f t="shared" si="13"/>
        <v>117.66666666666669</v>
      </c>
    </row>
    <row r="134" spans="1:5" x14ac:dyDescent="0.15">
      <c r="A134" s="174">
        <f t="shared" si="14"/>
        <v>44287</v>
      </c>
      <c r="B134" s="175">
        <f t="shared" si="13"/>
        <v>-99.333333333333314</v>
      </c>
    </row>
    <row r="135" spans="1:5" x14ac:dyDescent="0.15">
      <c r="A135" s="174">
        <f t="shared" si="14"/>
        <v>44317</v>
      </c>
      <c r="B135" s="175">
        <f t="shared" si="13"/>
        <v>-102.33333333333331</v>
      </c>
    </row>
    <row r="136" spans="1:5" x14ac:dyDescent="0.15">
      <c r="A136" s="174">
        <f t="shared" si="14"/>
        <v>44348</v>
      </c>
      <c r="B136" s="175">
        <f t="shared" si="13"/>
        <v>-89.333333333333314</v>
      </c>
    </row>
    <row r="137" spans="1:5" x14ac:dyDescent="0.15">
      <c r="A137" s="174">
        <f t="shared" si="14"/>
        <v>44378</v>
      </c>
      <c r="B137" s="175">
        <f t="shared" si="13"/>
        <v>-12.333333333333314</v>
      </c>
    </row>
    <row r="138" spans="1:5" x14ac:dyDescent="0.15">
      <c r="A138" s="174">
        <f t="shared" si="14"/>
        <v>44409</v>
      </c>
      <c r="B138" s="175">
        <f t="shared" si="13"/>
        <v>113.66666666666669</v>
      </c>
    </row>
    <row r="139" spans="1:5" x14ac:dyDescent="0.15">
      <c r="A139" s="174">
        <f t="shared" si="14"/>
        <v>44440</v>
      </c>
      <c r="B139" s="175">
        <f t="shared" si="13"/>
        <v>66.666666666666686</v>
      </c>
    </row>
    <row r="140" spans="1:5" x14ac:dyDescent="0.15">
      <c r="A140" s="172" t="s">
        <v>11</v>
      </c>
      <c r="B140" s="176">
        <f>SUM(B128:B139)</f>
        <v>2.2737367544323206E-13</v>
      </c>
      <c r="C140" s="81" t="s">
        <v>133</v>
      </c>
      <c r="D140" s="81"/>
      <c r="E140" s="81"/>
    </row>
    <row r="141" spans="1:5" x14ac:dyDescent="0.15">
      <c r="B141" s="81"/>
      <c r="C141" s="67"/>
      <c r="D141" s="67"/>
      <c r="E141" s="67"/>
    </row>
    <row r="142" spans="1:5" x14ac:dyDescent="0.15">
      <c r="A142" s="177" t="s">
        <v>31</v>
      </c>
      <c r="B142" s="178"/>
      <c r="C142" s="79"/>
      <c r="D142" s="79"/>
      <c r="E142" s="79"/>
    </row>
    <row r="143" spans="1:5" x14ac:dyDescent="0.15">
      <c r="A143" s="179" t="s">
        <v>16</v>
      </c>
      <c r="B143" s="173" t="s">
        <v>81</v>
      </c>
    </row>
    <row r="144" spans="1:5" x14ac:dyDescent="0.15">
      <c r="A144" s="174">
        <f>A128</f>
        <v>44105</v>
      </c>
      <c r="B144" s="180">
        <f>B109-B108</f>
        <v>-13</v>
      </c>
      <c r="C144" s="82"/>
    </row>
    <row r="145" spans="1:5" x14ac:dyDescent="0.15">
      <c r="A145" s="174">
        <f t="shared" ref="A145:A155" si="15">A129</f>
        <v>44136</v>
      </c>
      <c r="B145" s="180">
        <f>B110-B109</f>
        <v>-235</v>
      </c>
      <c r="C145" s="82"/>
    </row>
    <row r="146" spans="1:5" x14ac:dyDescent="0.15">
      <c r="A146" s="174">
        <f t="shared" si="15"/>
        <v>44166</v>
      </c>
      <c r="B146" s="180">
        <f>B111-B110</f>
        <v>78</v>
      </c>
      <c r="C146" s="82"/>
    </row>
    <row r="147" spans="1:5" x14ac:dyDescent="0.15">
      <c r="A147" s="174">
        <f t="shared" si="15"/>
        <v>44197</v>
      </c>
      <c r="B147" s="180">
        <f>B112-B111</f>
        <v>50</v>
      </c>
      <c r="C147" s="82"/>
    </row>
    <row r="148" spans="1:5" x14ac:dyDescent="0.15">
      <c r="A148" s="174">
        <f t="shared" si="15"/>
        <v>44228</v>
      </c>
      <c r="B148" s="180">
        <f t="shared" ref="B148:B155" si="16">B113-B112</f>
        <v>28</v>
      </c>
      <c r="C148" s="82"/>
    </row>
    <row r="149" spans="1:5" x14ac:dyDescent="0.15">
      <c r="A149" s="174">
        <f t="shared" si="15"/>
        <v>44256</v>
      </c>
      <c r="B149" s="180">
        <f t="shared" si="16"/>
        <v>80</v>
      </c>
      <c r="C149" s="82"/>
    </row>
    <row r="150" spans="1:5" x14ac:dyDescent="0.15">
      <c r="A150" s="174">
        <f t="shared" si="15"/>
        <v>44287</v>
      </c>
      <c r="B150" s="180">
        <f t="shared" si="16"/>
        <v>-217</v>
      </c>
      <c r="C150" s="82"/>
    </row>
    <row r="151" spans="1:5" x14ac:dyDescent="0.15">
      <c r="A151" s="174">
        <f t="shared" si="15"/>
        <v>44317</v>
      </c>
      <c r="B151" s="180">
        <f t="shared" si="16"/>
        <v>-3</v>
      </c>
      <c r="C151" s="82"/>
    </row>
    <row r="152" spans="1:5" x14ac:dyDescent="0.15">
      <c r="A152" s="174">
        <f t="shared" si="15"/>
        <v>44348</v>
      </c>
      <c r="B152" s="180">
        <f t="shared" si="16"/>
        <v>13</v>
      </c>
      <c r="C152" s="82"/>
    </row>
    <row r="153" spans="1:5" x14ac:dyDescent="0.15">
      <c r="A153" s="174">
        <f t="shared" si="15"/>
        <v>44378</v>
      </c>
      <c r="B153" s="180">
        <f t="shared" si="16"/>
        <v>77</v>
      </c>
      <c r="C153" s="82"/>
    </row>
    <row r="154" spans="1:5" x14ac:dyDescent="0.15">
      <c r="A154" s="174">
        <f t="shared" si="15"/>
        <v>44409</v>
      </c>
      <c r="B154" s="180">
        <f t="shared" si="16"/>
        <v>126</v>
      </c>
      <c r="C154" s="82"/>
    </row>
    <row r="155" spans="1:5" ht="12.75" customHeight="1" x14ac:dyDescent="0.15">
      <c r="A155" s="174">
        <f t="shared" si="15"/>
        <v>44440</v>
      </c>
      <c r="B155" s="180">
        <f t="shared" si="16"/>
        <v>-47</v>
      </c>
    </row>
    <row r="157" spans="1:5" x14ac:dyDescent="0.15">
      <c r="C157" s="68"/>
      <c r="D157" s="83"/>
      <c r="E157" s="83"/>
    </row>
    <row r="158" spans="1:5" x14ac:dyDescent="0.15">
      <c r="A158" s="71" t="s">
        <v>83</v>
      </c>
      <c r="B158" s="68"/>
      <c r="C158" s="68"/>
      <c r="D158" s="84"/>
      <c r="E158" s="79"/>
    </row>
    <row r="159" spans="1:5" x14ac:dyDescent="0.15">
      <c r="A159" s="85" t="s">
        <v>47</v>
      </c>
      <c r="B159" s="86" t="s">
        <v>84</v>
      </c>
      <c r="C159" s="86" t="s">
        <v>85</v>
      </c>
      <c r="D159" s="75"/>
    </row>
    <row r="160" spans="1:5" x14ac:dyDescent="0.15">
      <c r="A160" s="87" t="s">
        <v>39</v>
      </c>
      <c r="B160" s="88">
        <f t="shared" ref="B160:B165" si="17">C160/52</f>
        <v>0</v>
      </c>
      <c r="C160" s="88"/>
      <c r="D160" s="75"/>
    </row>
    <row r="161" spans="1:8" ht="14" x14ac:dyDescent="0.15">
      <c r="A161" s="89" t="s">
        <v>40</v>
      </c>
      <c r="B161" s="88">
        <f t="shared" si="17"/>
        <v>0</v>
      </c>
      <c r="C161" s="88"/>
      <c r="D161" s="75"/>
    </row>
    <row r="162" spans="1:8" ht="14" x14ac:dyDescent="0.15">
      <c r="A162" s="221" t="s">
        <v>41</v>
      </c>
      <c r="B162" s="222">
        <f t="shared" si="17"/>
        <v>15.204008052518342</v>
      </c>
      <c r="C162" s="222">
        <v>790.60841873095376</v>
      </c>
      <c r="D162" s="75"/>
      <c r="G162"/>
      <c r="H162"/>
    </row>
    <row r="163" spans="1:8" ht="14" x14ac:dyDescent="0.15">
      <c r="A163" s="221" t="s">
        <v>42</v>
      </c>
      <c r="B163" s="222">
        <f t="shared" si="17"/>
        <v>15.701408315805288</v>
      </c>
      <c r="C163" s="222">
        <v>816.47323242187497</v>
      </c>
      <c r="D163" s="75"/>
    </row>
    <row r="164" spans="1:8" ht="14" x14ac:dyDescent="0.15">
      <c r="A164" s="221" t="s">
        <v>43</v>
      </c>
      <c r="B164" s="222">
        <f t="shared" si="17"/>
        <v>16.356479679987981</v>
      </c>
      <c r="C164" s="222">
        <v>850.53694335937496</v>
      </c>
      <c r="D164" s="75"/>
    </row>
    <row r="165" spans="1:8" ht="12.75" customHeight="1" x14ac:dyDescent="0.15">
      <c r="A165" s="221" t="s">
        <v>45</v>
      </c>
      <c r="B165" s="222">
        <f t="shared" si="17"/>
        <v>16.326743895168047</v>
      </c>
      <c r="C165" s="222">
        <v>848.9906825487385</v>
      </c>
    </row>
    <row r="166" spans="1:8" x14ac:dyDescent="0.15">
      <c r="A166" s="223" t="s">
        <v>72</v>
      </c>
      <c r="B166" s="222">
        <f t="shared" ref="B166:B171" si="18">C166/52</f>
        <v>20.760576923076922</v>
      </c>
      <c r="C166" s="222">
        <v>1079.55</v>
      </c>
    </row>
    <row r="167" spans="1:8" x14ac:dyDescent="0.15">
      <c r="A167" s="223" t="s">
        <v>92</v>
      </c>
      <c r="B167" s="222">
        <f t="shared" si="18"/>
        <v>21.101483846799091</v>
      </c>
      <c r="C167" s="222">
        <v>1097.2771600335527</v>
      </c>
    </row>
    <row r="168" spans="1:8" x14ac:dyDescent="0.15">
      <c r="A168" s="223" t="s">
        <v>99</v>
      </c>
      <c r="B168" s="222">
        <f t="shared" si="18"/>
        <v>18.820522293356575</v>
      </c>
      <c r="C168" s="222">
        <v>978.66715925454184</v>
      </c>
    </row>
    <row r="169" spans="1:8" x14ac:dyDescent="0.15">
      <c r="A169" s="223" t="s">
        <v>124</v>
      </c>
      <c r="B169" s="222">
        <f t="shared" si="18"/>
        <v>36.055543475983356</v>
      </c>
      <c r="C169" s="282">
        <v>1874.8882607511343</v>
      </c>
      <c r="D169" s="72" t="s">
        <v>121</v>
      </c>
    </row>
    <row r="170" spans="1:8" x14ac:dyDescent="0.15">
      <c r="A170" s="253" t="s">
        <v>158</v>
      </c>
      <c r="B170" s="222">
        <f t="shared" si="18"/>
        <v>47.155829052723981</v>
      </c>
      <c r="C170" s="283">
        <v>2452.103110741647</v>
      </c>
    </row>
    <row r="171" spans="1:8" x14ac:dyDescent="0.15">
      <c r="A171" s="312" t="s">
        <v>170</v>
      </c>
      <c r="B171" s="313">
        <f t="shared" si="18"/>
        <v>50.53</v>
      </c>
      <c r="C171" s="314">
        <v>2627.56</v>
      </c>
    </row>
    <row r="172" spans="1:8" x14ac:dyDescent="0.15">
      <c r="A172"/>
      <c r="D172" s="90"/>
      <c r="E172" s="90"/>
    </row>
    <row r="173" spans="1:8" ht="14" x14ac:dyDescent="0.15">
      <c r="A173" s="91" t="s">
        <v>36</v>
      </c>
      <c r="B173" s="92" t="s">
        <v>81</v>
      </c>
      <c r="C173" s="93"/>
      <c r="D173"/>
      <c r="E173"/>
    </row>
    <row r="174" spans="1:8" ht="14" x14ac:dyDescent="0.15">
      <c r="A174" s="94" t="s">
        <v>39</v>
      </c>
      <c r="B174" s="95"/>
      <c r="C174"/>
      <c r="D174"/>
      <c r="E174"/>
    </row>
    <row r="175" spans="1:8" ht="14" x14ac:dyDescent="0.15">
      <c r="A175" s="94" t="s">
        <v>40</v>
      </c>
      <c r="B175" s="95"/>
      <c r="C175"/>
      <c r="D175"/>
      <c r="E175"/>
    </row>
    <row r="176" spans="1:8" ht="14" x14ac:dyDescent="0.15">
      <c r="A176" s="94" t="s">
        <v>41</v>
      </c>
      <c r="B176" s="95"/>
      <c r="C176"/>
      <c r="D176"/>
      <c r="E176"/>
    </row>
    <row r="177" spans="1:5" ht="14" x14ac:dyDescent="0.15">
      <c r="A177" s="94" t="s">
        <v>42</v>
      </c>
      <c r="B177" s="95"/>
      <c r="C177"/>
      <c r="D177"/>
      <c r="E177"/>
    </row>
    <row r="178" spans="1:5" ht="14" x14ac:dyDescent="0.15">
      <c r="A178" s="94" t="s">
        <v>43</v>
      </c>
      <c r="B178" s="95"/>
      <c r="C178"/>
      <c r="D178"/>
      <c r="E178"/>
    </row>
    <row r="179" spans="1:5" ht="14" x14ac:dyDescent="0.15">
      <c r="A179" s="94" t="s">
        <v>45</v>
      </c>
      <c r="B179" s="96"/>
      <c r="C179"/>
      <c r="D179"/>
      <c r="E179"/>
    </row>
    <row r="180" spans="1:5" x14ac:dyDescent="0.15">
      <c r="A180"/>
      <c r="B180"/>
      <c r="C180"/>
      <c r="D180"/>
      <c r="E180"/>
    </row>
    <row r="181" spans="1:5" x14ac:dyDescent="0.15">
      <c r="A181"/>
      <c r="B181"/>
      <c r="C181"/>
      <c r="D181"/>
      <c r="E181"/>
    </row>
    <row r="182" spans="1:5" x14ac:dyDescent="0.15">
      <c r="A182"/>
      <c r="B182"/>
      <c r="C182"/>
      <c r="D182"/>
      <c r="E182"/>
    </row>
    <row r="183" spans="1:5" x14ac:dyDescent="0.15">
      <c r="A183" s="34" t="s">
        <v>55</v>
      </c>
      <c r="B183"/>
      <c r="C183"/>
    </row>
    <row r="184" spans="1:5" x14ac:dyDescent="0.15">
      <c r="A184" s="92" t="s">
        <v>16</v>
      </c>
      <c r="B184" s="92" t="s">
        <v>81</v>
      </c>
      <c r="D184" s="72" t="s">
        <v>122</v>
      </c>
    </row>
    <row r="185" spans="1:5" x14ac:dyDescent="0.15">
      <c r="A185" s="97" t="str">
        <f t="shared" ref="A185:A197" si="19">A108</f>
        <v>2020-09</v>
      </c>
      <c r="B185" s="185">
        <v>165905</v>
      </c>
      <c r="C185" s="123" t="s">
        <v>97</v>
      </c>
    </row>
    <row r="186" spans="1:5" x14ac:dyDescent="0.15">
      <c r="A186" s="97" t="str">
        <f t="shared" si="19"/>
        <v>2020-10</v>
      </c>
      <c r="B186" s="272">
        <v>45266</v>
      </c>
    </row>
    <row r="187" spans="1:5" x14ac:dyDescent="0.15">
      <c r="A187" s="97" t="str">
        <f t="shared" si="19"/>
        <v>2020-11</v>
      </c>
      <c r="B187" s="272">
        <v>21246</v>
      </c>
    </row>
    <row r="188" spans="1:5" x14ac:dyDescent="0.15">
      <c r="A188" s="97" t="str">
        <f t="shared" si="19"/>
        <v>2020-12</v>
      </c>
      <c r="B188" s="272">
        <v>11686</v>
      </c>
    </row>
    <row r="189" spans="1:5" x14ac:dyDescent="0.15">
      <c r="A189" s="97" t="str">
        <f t="shared" si="19"/>
        <v>2021-01</v>
      </c>
      <c r="B189" s="272">
        <v>14711</v>
      </c>
    </row>
    <row r="190" spans="1:5" x14ac:dyDescent="0.15">
      <c r="A190" s="97" t="str">
        <f t="shared" si="19"/>
        <v>2021-02</v>
      </c>
      <c r="B190" s="272">
        <v>19602</v>
      </c>
    </row>
    <row r="191" spans="1:5" x14ac:dyDescent="0.15">
      <c r="A191" s="97" t="str">
        <f t="shared" si="19"/>
        <v>2021-03</v>
      </c>
      <c r="B191" s="272">
        <v>23077</v>
      </c>
    </row>
    <row r="192" spans="1:5" x14ac:dyDescent="0.15">
      <c r="A192" s="97" t="str">
        <f t="shared" si="19"/>
        <v>2021-04</v>
      </c>
      <c r="B192" s="272">
        <v>20114</v>
      </c>
    </row>
    <row r="193" spans="1:5" x14ac:dyDescent="0.15">
      <c r="A193" s="97" t="str">
        <f t="shared" si="19"/>
        <v>2021-05</v>
      </c>
      <c r="B193" s="272">
        <v>19992</v>
      </c>
    </row>
    <row r="194" spans="1:5" x14ac:dyDescent="0.15">
      <c r="A194" s="97" t="str">
        <f t="shared" si="19"/>
        <v>2021-06</v>
      </c>
      <c r="B194" s="272">
        <v>28854</v>
      </c>
    </row>
    <row r="195" spans="1:5" x14ac:dyDescent="0.15">
      <c r="A195" s="97" t="str">
        <f t="shared" si="19"/>
        <v>2021-07</v>
      </c>
      <c r="B195" s="272">
        <v>220504</v>
      </c>
    </row>
    <row r="196" spans="1:5" x14ac:dyDescent="0.15">
      <c r="A196" s="97" t="str">
        <f t="shared" si="19"/>
        <v>2021-08</v>
      </c>
      <c r="B196" s="272">
        <v>652046</v>
      </c>
    </row>
    <row r="197" spans="1:5" x14ac:dyDescent="0.15">
      <c r="A197" s="97" t="str">
        <f t="shared" si="19"/>
        <v>2021-09</v>
      </c>
      <c r="B197" s="272">
        <v>66263</v>
      </c>
    </row>
    <row r="198" spans="1:5" x14ac:dyDescent="0.15">
      <c r="A198" s="92" t="s">
        <v>54</v>
      </c>
      <c r="B198" s="185">
        <f>SUM(B186:B197)</f>
        <v>1143361</v>
      </c>
    </row>
    <row r="199" spans="1:5" x14ac:dyDescent="0.15">
      <c r="A199" s="36" t="s">
        <v>29</v>
      </c>
      <c r="B199" s="183">
        <f>AVERAGE(B186:B197)</f>
        <v>95280.083333333328</v>
      </c>
    </row>
    <row r="200" spans="1:5" x14ac:dyDescent="0.15">
      <c r="A200" s="271" t="s">
        <v>187</v>
      </c>
      <c r="B200" s="271">
        <v>1143361</v>
      </c>
      <c r="C200" s="232" t="s">
        <v>129</v>
      </c>
      <c r="D200" s="36"/>
      <c r="E200" s="36"/>
    </row>
    <row r="201" spans="1:5" x14ac:dyDescent="0.15">
      <c r="A201" s="271" t="s">
        <v>159</v>
      </c>
      <c r="B201" s="265">
        <v>569112</v>
      </c>
      <c r="C201" s="232" t="s">
        <v>129</v>
      </c>
      <c r="D201" s="67"/>
      <c r="E201" s="67"/>
    </row>
    <row r="202" spans="1:5" x14ac:dyDescent="0.15">
      <c r="A202" s="36"/>
      <c r="B202" s="36"/>
      <c r="C202" s="67"/>
      <c r="D202" s="79"/>
      <c r="E202" s="79"/>
    </row>
    <row r="203" spans="1:5" x14ac:dyDescent="0.15">
      <c r="A203" s="72" t="s">
        <v>56</v>
      </c>
      <c r="B203" s="171"/>
      <c r="C203" s="78"/>
    </row>
    <row r="204" spans="1:5" x14ac:dyDescent="0.15">
      <c r="A204" s="172" t="s">
        <v>16</v>
      </c>
      <c r="B204" s="185" t="s">
        <v>81</v>
      </c>
      <c r="C204" s="36"/>
    </row>
    <row r="205" spans="1:5" x14ac:dyDescent="0.15">
      <c r="A205" s="174">
        <f t="shared" ref="A205:A216" si="20">A144</f>
        <v>44105</v>
      </c>
      <c r="B205" s="176">
        <f>B186-B$199</f>
        <v>-50014.083333333328</v>
      </c>
      <c r="C205" s="36"/>
    </row>
    <row r="206" spans="1:5" x14ac:dyDescent="0.15">
      <c r="A206" s="174">
        <f t="shared" si="20"/>
        <v>44136</v>
      </c>
      <c r="B206" s="176">
        <f t="shared" ref="B206:B216" si="21">B187-B$199</f>
        <v>-74034.083333333328</v>
      </c>
      <c r="C206" s="36"/>
    </row>
    <row r="207" spans="1:5" x14ac:dyDescent="0.15">
      <c r="A207" s="174">
        <f t="shared" si="20"/>
        <v>44166</v>
      </c>
      <c r="B207" s="176">
        <f t="shared" si="21"/>
        <v>-83594.083333333328</v>
      </c>
      <c r="C207" s="36"/>
    </row>
    <row r="208" spans="1:5" x14ac:dyDescent="0.15">
      <c r="A208" s="174">
        <f t="shared" si="20"/>
        <v>44197</v>
      </c>
      <c r="B208" s="176">
        <f t="shared" si="21"/>
        <v>-80569.083333333328</v>
      </c>
      <c r="C208" s="36"/>
    </row>
    <row r="209" spans="1:5" x14ac:dyDescent="0.15">
      <c r="A209" s="174">
        <f t="shared" si="20"/>
        <v>44228</v>
      </c>
      <c r="B209" s="176">
        <f t="shared" si="21"/>
        <v>-75678.083333333328</v>
      </c>
      <c r="C209" s="36"/>
    </row>
    <row r="210" spans="1:5" x14ac:dyDescent="0.15">
      <c r="A210" s="174">
        <f t="shared" si="20"/>
        <v>44256</v>
      </c>
      <c r="B210" s="176">
        <f t="shared" si="21"/>
        <v>-72203.083333333328</v>
      </c>
      <c r="C210" s="36"/>
    </row>
    <row r="211" spans="1:5" x14ac:dyDescent="0.15">
      <c r="A211" s="174">
        <f t="shared" si="20"/>
        <v>44287</v>
      </c>
      <c r="B211" s="176">
        <f t="shared" si="21"/>
        <v>-75166.083333333328</v>
      </c>
      <c r="C211" s="36"/>
    </row>
    <row r="212" spans="1:5" x14ac:dyDescent="0.15">
      <c r="A212" s="174">
        <f t="shared" si="20"/>
        <v>44317</v>
      </c>
      <c r="B212" s="176">
        <f t="shared" si="21"/>
        <v>-75288.083333333328</v>
      </c>
      <c r="C212" s="36"/>
    </row>
    <row r="213" spans="1:5" x14ac:dyDescent="0.15">
      <c r="A213" s="174">
        <f t="shared" si="20"/>
        <v>44348</v>
      </c>
      <c r="B213" s="176">
        <f t="shared" si="21"/>
        <v>-66426.083333333328</v>
      </c>
      <c r="C213" s="36"/>
    </row>
    <row r="214" spans="1:5" x14ac:dyDescent="0.15">
      <c r="A214" s="174">
        <f t="shared" si="20"/>
        <v>44378</v>
      </c>
      <c r="B214" s="176">
        <f t="shared" si="21"/>
        <v>125223.91666666667</v>
      </c>
      <c r="C214" s="36"/>
    </row>
    <row r="215" spans="1:5" x14ac:dyDescent="0.15">
      <c r="A215" s="174">
        <f t="shared" si="20"/>
        <v>44409</v>
      </c>
      <c r="B215" s="176">
        <f t="shared" si="21"/>
        <v>556765.91666666663</v>
      </c>
      <c r="C215" s="36"/>
    </row>
    <row r="216" spans="1:5" x14ac:dyDescent="0.15">
      <c r="A216" s="174">
        <f t="shared" si="20"/>
        <v>44440</v>
      </c>
      <c r="B216" s="176">
        <f t="shared" si="21"/>
        <v>-29017.083333333328</v>
      </c>
      <c r="C216" s="36"/>
      <c r="D216" s="36"/>
      <c r="E216" s="36"/>
    </row>
    <row r="217" spans="1:5" x14ac:dyDescent="0.15">
      <c r="A217" s="172" t="s">
        <v>11</v>
      </c>
      <c r="B217" s="176">
        <f>SUM(B205:B216)</f>
        <v>-7.2759576141834259E-11</v>
      </c>
      <c r="C217" s="36"/>
      <c r="D217" s="98"/>
      <c r="E217" s="98"/>
    </row>
    <row r="218" spans="1:5" x14ac:dyDescent="0.15">
      <c r="B218" s="36"/>
      <c r="C218" s="98"/>
      <c r="D218" s="79"/>
      <c r="E218" s="79"/>
    </row>
    <row r="219" spans="1:5" x14ac:dyDescent="0.15">
      <c r="A219" s="72" t="s">
        <v>57</v>
      </c>
      <c r="B219" s="186"/>
      <c r="C219" s="99"/>
    </row>
    <row r="220" spans="1:5" x14ac:dyDescent="0.15">
      <c r="A220" s="179" t="s">
        <v>16</v>
      </c>
      <c r="B220" s="158" t="s">
        <v>81</v>
      </c>
      <c r="C220" s="36"/>
    </row>
    <row r="221" spans="1:5" x14ac:dyDescent="0.15">
      <c r="A221" s="174">
        <f>A205</f>
        <v>44105</v>
      </c>
      <c r="B221" s="176">
        <f>B186-B185</f>
        <v>-120639</v>
      </c>
      <c r="C221" s="36"/>
    </row>
    <row r="222" spans="1:5" x14ac:dyDescent="0.15">
      <c r="A222" s="174">
        <f t="shared" ref="A222:A232" si="22">A206</f>
        <v>44136</v>
      </c>
      <c r="B222" s="176">
        <f>B187-B186</f>
        <v>-24020</v>
      </c>
      <c r="C222" s="36"/>
    </row>
    <row r="223" spans="1:5" x14ac:dyDescent="0.15">
      <c r="A223" s="174">
        <f t="shared" si="22"/>
        <v>44166</v>
      </c>
      <c r="B223" s="176">
        <f t="shared" ref="B223:B232" si="23">B188-B187</f>
        <v>-9560</v>
      </c>
      <c r="C223" s="36"/>
    </row>
    <row r="224" spans="1:5" x14ac:dyDescent="0.15">
      <c r="A224" s="174">
        <f t="shared" si="22"/>
        <v>44197</v>
      </c>
      <c r="B224" s="176">
        <f t="shared" si="23"/>
        <v>3025</v>
      </c>
      <c r="C224" s="36"/>
    </row>
    <row r="225" spans="1:6" x14ac:dyDescent="0.15">
      <c r="A225" s="174">
        <f t="shared" si="22"/>
        <v>44228</v>
      </c>
      <c r="B225" s="176">
        <f t="shared" si="23"/>
        <v>4891</v>
      </c>
      <c r="C225" s="36"/>
    </row>
    <row r="226" spans="1:6" x14ac:dyDescent="0.15">
      <c r="A226" s="174">
        <f t="shared" si="22"/>
        <v>44256</v>
      </c>
      <c r="B226" s="176">
        <f t="shared" si="23"/>
        <v>3475</v>
      </c>
      <c r="C226" s="36"/>
    </row>
    <row r="227" spans="1:6" x14ac:dyDescent="0.15">
      <c r="A227" s="174">
        <f t="shared" si="22"/>
        <v>44287</v>
      </c>
      <c r="B227" s="176">
        <f t="shared" si="23"/>
        <v>-2963</v>
      </c>
      <c r="C227" s="36"/>
    </row>
    <row r="228" spans="1:6" x14ac:dyDescent="0.15">
      <c r="A228" s="174">
        <f t="shared" si="22"/>
        <v>44317</v>
      </c>
      <c r="B228" s="176">
        <f t="shared" si="23"/>
        <v>-122</v>
      </c>
      <c r="C228" s="36"/>
    </row>
    <row r="229" spans="1:6" x14ac:dyDescent="0.15">
      <c r="A229" s="174">
        <f t="shared" si="22"/>
        <v>44348</v>
      </c>
      <c r="B229" s="176">
        <f t="shared" si="23"/>
        <v>8862</v>
      </c>
      <c r="C229" s="36"/>
    </row>
    <row r="230" spans="1:6" x14ac:dyDescent="0.15">
      <c r="A230" s="174">
        <f t="shared" si="22"/>
        <v>44378</v>
      </c>
      <c r="B230" s="176">
        <f t="shared" si="23"/>
        <v>191650</v>
      </c>
      <c r="C230" s="36"/>
    </row>
    <row r="231" spans="1:6" x14ac:dyDescent="0.15">
      <c r="A231" s="174">
        <f t="shared" si="22"/>
        <v>44409</v>
      </c>
      <c r="B231" s="176">
        <f t="shared" si="23"/>
        <v>431542</v>
      </c>
      <c r="C231" s="36"/>
      <c r="D231" s="36"/>
      <c r="E231" s="36"/>
    </row>
    <row r="232" spans="1:6" x14ac:dyDescent="0.15">
      <c r="A232" s="174">
        <f t="shared" si="22"/>
        <v>44440</v>
      </c>
      <c r="B232" s="176">
        <f t="shared" si="23"/>
        <v>-585783</v>
      </c>
      <c r="C232" s="36"/>
    </row>
    <row r="233" spans="1:6" x14ac:dyDescent="0.15">
      <c r="A233" s="76"/>
      <c r="B233" s="36"/>
    </row>
    <row r="234" spans="1:6" x14ac:dyDescent="0.15">
      <c r="A234" s="76"/>
      <c r="D234" s="70"/>
    </row>
    <row r="235" spans="1:6" x14ac:dyDescent="0.15">
      <c r="A235" s="34" t="s">
        <v>61</v>
      </c>
      <c r="C235" s="69"/>
      <c r="D235" s="70"/>
      <c r="F235" s="72" t="s">
        <v>122</v>
      </c>
    </row>
    <row r="236" spans="1:6" x14ac:dyDescent="0.15">
      <c r="A236" s="92"/>
      <c r="B236" s="404" t="s">
        <v>81</v>
      </c>
      <c r="C236" s="405"/>
      <c r="D236" s="406"/>
    </row>
    <row r="237" spans="1:6" x14ac:dyDescent="0.15">
      <c r="A237" s="92" t="s">
        <v>60</v>
      </c>
      <c r="B237" s="92" t="s">
        <v>52</v>
      </c>
      <c r="C237" s="92" t="s">
        <v>53</v>
      </c>
      <c r="D237" s="92" t="s">
        <v>51</v>
      </c>
    </row>
    <row r="238" spans="1:6" x14ac:dyDescent="0.15">
      <c r="A238" s="92" t="s">
        <v>39</v>
      </c>
      <c r="B238" s="100"/>
      <c r="C238" s="100"/>
      <c r="D238" s="100"/>
    </row>
    <row r="239" spans="1:6" x14ac:dyDescent="0.15">
      <c r="A239" s="92" t="s">
        <v>40</v>
      </c>
      <c r="B239" s="100"/>
      <c r="C239" s="100"/>
      <c r="D239" s="100"/>
    </row>
    <row r="240" spans="1:6" x14ac:dyDescent="0.15">
      <c r="A240" s="185" t="s">
        <v>41</v>
      </c>
      <c r="B240" s="165">
        <v>592471</v>
      </c>
      <c r="C240" s="165">
        <v>6582527</v>
      </c>
      <c r="D240" s="165">
        <v>325462</v>
      </c>
    </row>
    <row r="241" spans="1:6" x14ac:dyDescent="0.15">
      <c r="A241" s="185" t="s">
        <v>42</v>
      </c>
      <c r="B241" s="165">
        <v>555306</v>
      </c>
      <c r="C241" s="165">
        <v>5791919</v>
      </c>
      <c r="D241" s="165">
        <v>298036</v>
      </c>
    </row>
    <row r="242" spans="1:6" x14ac:dyDescent="0.15">
      <c r="A242" s="185" t="s">
        <v>43</v>
      </c>
      <c r="B242" s="165">
        <v>399036</v>
      </c>
      <c r="C242" s="165">
        <v>4085298</v>
      </c>
      <c r="D242" s="165">
        <v>224482</v>
      </c>
    </row>
    <row r="243" spans="1:6" x14ac:dyDescent="0.15">
      <c r="A243" s="185" t="s">
        <v>45</v>
      </c>
      <c r="B243" s="165">
        <v>349520</v>
      </c>
      <c r="C243" s="165">
        <v>3443353</v>
      </c>
      <c r="D243" s="165">
        <v>198199</v>
      </c>
    </row>
    <row r="244" spans="1:6" x14ac:dyDescent="0.15">
      <c r="A244" s="185" t="s">
        <v>72</v>
      </c>
      <c r="B244" s="165">
        <v>318452</v>
      </c>
      <c r="C244" s="165">
        <v>3076663</v>
      </c>
      <c r="D244" s="165">
        <v>185720</v>
      </c>
    </row>
    <row r="245" spans="1:6" x14ac:dyDescent="0.15">
      <c r="A245" s="185" t="s">
        <v>92</v>
      </c>
      <c r="B245" s="165">
        <v>302452</v>
      </c>
      <c r="C245" s="165">
        <v>2925899</v>
      </c>
      <c r="D245" s="165">
        <v>198199</v>
      </c>
    </row>
    <row r="246" spans="1:6" x14ac:dyDescent="0.15">
      <c r="A246" s="185" t="s">
        <v>99</v>
      </c>
      <c r="B246" s="165">
        <v>294901</v>
      </c>
      <c r="C246" s="165">
        <v>3706912</v>
      </c>
      <c r="D246" s="165">
        <v>197163</v>
      </c>
    </row>
    <row r="247" spans="1:6" x14ac:dyDescent="0.15">
      <c r="A247" s="185" t="s">
        <v>124</v>
      </c>
      <c r="B247" s="165">
        <v>231461</v>
      </c>
      <c r="C247" s="165">
        <v>1897123</v>
      </c>
      <c r="D247" s="165">
        <v>180621</v>
      </c>
      <c r="F247" s="72" t="s">
        <v>127</v>
      </c>
    </row>
    <row r="248" spans="1:6" x14ac:dyDescent="0.15">
      <c r="A248" s="185" t="s">
        <v>158</v>
      </c>
      <c r="B248" s="165">
        <v>652966</v>
      </c>
      <c r="C248" s="165">
        <v>2561596</v>
      </c>
      <c r="D248" s="165">
        <v>537745</v>
      </c>
    </row>
    <row r="249" spans="1:6" x14ac:dyDescent="0.15">
      <c r="A249" s="272" t="s">
        <v>170</v>
      </c>
      <c r="B249" s="273">
        <v>1551417</v>
      </c>
      <c r="C249" s="273">
        <v>4861082</v>
      </c>
      <c r="D249" s="273">
        <v>1064634</v>
      </c>
    </row>
    <row r="251" spans="1:6" x14ac:dyDescent="0.15">
      <c r="A251" s="34" t="s">
        <v>55</v>
      </c>
      <c r="B251"/>
      <c r="C251"/>
    </row>
    <row r="252" spans="1:6" x14ac:dyDescent="0.15">
      <c r="A252" s="92" t="s">
        <v>16</v>
      </c>
      <c r="B252" s="92" t="s">
        <v>81</v>
      </c>
      <c r="D252" s="72" t="s">
        <v>122</v>
      </c>
    </row>
    <row r="253" spans="1:6" x14ac:dyDescent="0.15">
      <c r="A253" s="97" t="str">
        <f t="shared" ref="A253:A265" si="24">A108</f>
        <v>2020-09</v>
      </c>
      <c r="B253" s="100">
        <v>165905</v>
      </c>
      <c r="C253" s="123" t="s">
        <v>97</v>
      </c>
    </row>
    <row r="254" spans="1:6" x14ac:dyDescent="0.15">
      <c r="A254" s="97" t="str">
        <f t="shared" si="24"/>
        <v>2020-10</v>
      </c>
      <c r="B254" s="275">
        <v>45266</v>
      </c>
    </row>
    <row r="255" spans="1:6" x14ac:dyDescent="0.15">
      <c r="A255" s="97" t="str">
        <f t="shared" si="24"/>
        <v>2020-11</v>
      </c>
      <c r="B255" s="275">
        <v>21246</v>
      </c>
    </row>
    <row r="256" spans="1:6" x14ac:dyDescent="0.15">
      <c r="A256" s="97" t="str">
        <f t="shared" si="24"/>
        <v>2020-12</v>
      </c>
      <c r="B256" s="275">
        <v>11686</v>
      </c>
    </row>
    <row r="257" spans="1:5" x14ac:dyDescent="0.15">
      <c r="A257" s="97" t="str">
        <f t="shared" si="24"/>
        <v>2021-01</v>
      </c>
      <c r="B257" s="275">
        <v>14711</v>
      </c>
    </row>
    <row r="258" spans="1:5" x14ac:dyDescent="0.15">
      <c r="A258" s="97" t="str">
        <f t="shared" si="24"/>
        <v>2021-02</v>
      </c>
      <c r="B258" s="275">
        <v>19602</v>
      </c>
    </row>
    <row r="259" spans="1:5" x14ac:dyDescent="0.15">
      <c r="A259" s="97" t="str">
        <f t="shared" si="24"/>
        <v>2021-03</v>
      </c>
      <c r="B259" s="275">
        <v>23077</v>
      </c>
    </row>
    <row r="260" spans="1:5" x14ac:dyDescent="0.15">
      <c r="A260" s="97" t="str">
        <f t="shared" si="24"/>
        <v>2021-04</v>
      </c>
      <c r="B260" s="275">
        <v>20114</v>
      </c>
    </row>
    <row r="261" spans="1:5" x14ac:dyDescent="0.15">
      <c r="A261" s="97" t="str">
        <f t="shared" si="24"/>
        <v>2021-05</v>
      </c>
      <c r="B261" s="275">
        <v>19992</v>
      </c>
    </row>
    <row r="262" spans="1:5" x14ac:dyDescent="0.15">
      <c r="A262" s="97" t="str">
        <f t="shared" si="24"/>
        <v>2021-06</v>
      </c>
      <c r="B262" s="275">
        <v>28854</v>
      </c>
    </row>
    <row r="263" spans="1:5" x14ac:dyDescent="0.15">
      <c r="A263" s="97" t="str">
        <f t="shared" si="24"/>
        <v>2021-07</v>
      </c>
      <c r="B263" s="275">
        <v>220504</v>
      </c>
    </row>
    <row r="264" spans="1:5" x14ac:dyDescent="0.15">
      <c r="A264" s="97" t="str">
        <f t="shared" si="24"/>
        <v>2021-08</v>
      </c>
      <c r="B264" s="275">
        <v>652046</v>
      </c>
    </row>
    <row r="265" spans="1:5" x14ac:dyDescent="0.15">
      <c r="A265" s="97" t="str">
        <f t="shared" si="24"/>
        <v>2021-09</v>
      </c>
      <c r="B265" s="275">
        <v>66263</v>
      </c>
    </row>
    <row r="266" spans="1:5" x14ac:dyDescent="0.15">
      <c r="A266" s="92" t="s">
        <v>54</v>
      </c>
      <c r="B266" s="185">
        <f>SUM(B254:B265)</f>
        <v>1143361</v>
      </c>
    </row>
    <row r="267" spans="1:5" x14ac:dyDescent="0.15">
      <c r="A267" s="36" t="s">
        <v>29</v>
      </c>
      <c r="B267" s="183">
        <f>AVERAGE(B254:B265)</f>
        <v>95280.083333333328</v>
      </c>
      <c r="E267" s="36"/>
    </row>
    <row r="268" spans="1:5" x14ac:dyDescent="0.15">
      <c r="A268" s="271" t="s">
        <v>187</v>
      </c>
      <c r="B268" s="271">
        <v>1143361</v>
      </c>
      <c r="C268" s="232" t="s">
        <v>129</v>
      </c>
      <c r="D268" s="36"/>
      <c r="E268" s="238"/>
    </row>
    <row r="269" spans="1:5" x14ac:dyDescent="0.15">
      <c r="A269" s="271" t="s">
        <v>159</v>
      </c>
      <c r="B269" s="265">
        <v>569112</v>
      </c>
      <c r="C269" s="232" t="s">
        <v>129</v>
      </c>
      <c r="D269" s="238"/>
      <c r="E269" s="79"/>
    </row>
    <row r="270" spans="1:5" x14ac:dyDescent="0.15">
      <c r="A270" s="36"/>
      <c r="B270" s="36"/>
      <c r="C270" s="238"/>
      <c r="D270" s="79"/>
    </row>
    <row r="271" spans="1:5" x14ac:dyDescent="0.15">
      <c r="A271" s="72" t="s">
        <v>56</v>
      </c>
      <c r="B271" s="171"/>
      <c r="C271" s="78"/>
    </row>
    <row r="272" spans="1:5" x14ac:dyDescent="0.15">
      <c r="A272" s="172" t="s">
        <v>16</v>
      </c>
      <c r="B272" s="185" t="s">
        <v>81</v>
      </c>
      <c r="C272" s="36"/>
    </row>
    <row r="273" spans="1:5" x14ac:dyDescent="0.15">
      <c r="A273" s="174">
        <f t="shared" ref="A273:A284" si="25">A144</f>
        <v>44105</v>
      </c>
      <c r="B273" s="176">
        <f>B254-B$199</f>
        <v>-50014.083333333328</v>
      </c>
      <c r="C273" s="36"/>
    </row>
    <row r="274" spans="1:5" x14ac:dyDescent="0.15">
      <c r="A274" s="174">
        <f t="shared" si="25"/>
        <v>44136</v>
      </c>
      <c r="B274" s="176">
        <f t="shared" ref="B274:B284" si="26">B255-B$199</f>
        <v>-74034.083333333328</v>
      </c>
      <c r="C274" s="36"/>
    </row>
    <row r="275" spans="1:5" x14ac:dyDescent="0.15">
      <c r="A275" s="174">
        <f t="shared" si="25"/>
        <v>44166</v>
      </c>
      <c r="B275" s="176">
        <f t="shared" si="26"/>
        <v>-83594.083333333328</v>
      </c>
      <c r="C275" s="36"/>
    </row>
    <row r="276" spans="1:5" x14ac:dyDescent="0.15">
      <c r="A276" s="174">
        <f t="shared" si="25"/>
        <v>44197</v>
      </c>
      <c r="B276" s="176">
        <f t="shared" si="26"/>
        <v>-80569.083333333328</v>
      </c>
      <c r="C276" s="36"/>
    </row>
    <row r="277" spans="1:5" x14ac:dyDescent="0.15">
      <c r="A277" s="174">
        <f t="shared" si="25"/>
        <v>44228</v>
      </c>
      <c r="B277" s="176">
        <f t="shared" si="26"/>
        <v>-75678.083333333328</v>
      </c>
      <c r="C277" s="36"/>
    </row>
    <row r="278" spans="1:5" x14ac:dyDescent="0.15">
      <c r="A278" s="174">
        <f t="shared" si="25"/>
        <v>44256</v>
      </c>
      <c r="B278" s="176">
        <f t="shared" si="26"/>
        <v>-72203.083333333328</v>
      </c>
      <c r="C278" s="36"/>
    </row>
    <row r="279" spans="1:5" x14ac:dyDescent="0.15">
      <c r="A279" s="174">
        <f t="shared" si="25"/>
        <v>44287</v>
      </c>
      <c r="B279" s="176">
        <f t="shared" si="26"/>
        <v>-75166.083333333328</v>
      </c>
      <c r="C279" s="36"/>
    </row>
    <row r="280" spans="1:5" x14ac:dyDescent="0.15">
      <c r="A280" s="174">
        <f t="shared" si="25"/>
        <v>44317</v>
      </c>
      <c r="B280" s="176">
        <f t="shared" si="26"/>
        <v>-75288.083333333328</v>
      </c>
      <c r="C280" s="36"/>
    </row>
    <row r="281" spans="1:5" x14ac:dyDescent="0.15">
      <c r="A281" s="174">
        <f t="shared" si="25"/>
        <v>44348</v>
      </c>
      <c r="B281" s="176">
        <f t="shared" si="26"/>
        <v>-66426.083333333328</v>
      </c>
      <c r="C281" s="36"/>
    </row>
    <row r="282" spans="1:5" x14ac:dyDescent="0.15">
      <c r="A282" s="174">
        <f t="shared" si="25"/>
        <v>44378</v>
      </c>
      <c r="B282" s="176">
        <f t="shared" si="26"/>
        <v>125223.91666666667</v>
      </c>
      <c r="C282" s="36"/>
    </row>
    <row r="283" spans="1:5" x14ac:dyDescent="0.15">
      <c r="A283" s="174">
        <f t="shared" si="25"/>
        <v>44409</v>
      </c>
      <c r="B283" s="176">
        <f t="shared" si="26"/>
        <v>556765.91666666663</v>
      </c>
      <c r="C283" s="36"/>
      <c r="E283" s="36"/>
    </row>
    <row r="284" spans="1:5" x14ac:dyDescent="0.15">
      <c r="A284" s="174">
        <f t="shared" si="25"/>
        <v>44440</v>
      </c>
      <c r="B284" s="176">
        <f t="shared" si="26"/>
        <v>-29017.083333333328</v>
      </c>
      <c r="C284" s="36"/>
      <c r="D284" s="36"/>
      <c r="E284" s="239"/>
    </row>
    <row r="285" spans="1:5" x14ac:dyDescent="0.15">
      <c r="A285" s="172" t="s">
        <v>11</v>
      </c>
      <c r="B285" s="176">
        <f>SUM(B273:B284)</f>
        <v>-7.2759576141834259E-11</v>
      </c>
      <c r="C285" s="36"/>
      <c r="D285" s="239"/>
      <c r="E285" s="79"/>
    </row>
    <row r="286" spans="1:5" x14ac:dyDescent="0.15">
      <c r="B286" s="36"/>
      <c r="C286" s="239"/>
      <c r="D286" s="79"/>
    </row>
    <row r="287" spans="1:5" x14ac:dyDescent="0.15">
      <c r="A287" s="72" t="s">
        <v>57</v>
      </c>
      <c r="B287" s="186"/>
      <c r="C287" s="99"/>
    </row>
    <row r="288" spans="1:5" x14ac:dyDescent="0.15">
      <c r="A288" s="179" t="s">
        <v>16</v>
      </c>
      <c r="B288" s="158" t="s">
        <v>81</v>
      </c>
      <c r="C288" s="36"/>
    </row>
    <row r="289" spans="1:6" x14ac:dyDescent="0.15">
      <c r="A289" s="174">
        <f>A273</f>
        <v>44105</v>
      </c>
      <c r="B289" s="176">
        <f>B254-B253</f>
        <v>-120639</v>
      </c>
      <c r="C289" s="36"/>
    </row>
    <row r="290" spans="1:6" x14ac:dyDescent="0.15">
      <c r="A290" s="174">
        <f t="shared" ref="A290:A300" si="27">A274</f>
        <v>44136</v>
      </c>
      <c r="B290" s="176">
        <f>B255-B254</f>
        <v>-24020</v>
      </c>
      <c r="C290" s="36"/>
    </row>
    <row r="291" spans="1:6" x14ac:dyDescent="0.15">
      <c r="A291" s="174">
        <f t="shared" si="27"/>
        <v>44166</v>
      </c>
      <c r="B291" s="176">
        <f t="shared" ref="B291:B300" si="28">B256-B255</f>
        <v>-9560</v>
      </c>
      <c r="C291" s="36"/>
    </row>
    <row r="292" spans="1:6" x14ac:dyDescent="0.15">
      <c r="A292" s="174">
        <f t="shared" si="27"/>
        <v>44197</v>
      </c>
      <c r="B292" s="176">
        <f t="shared" si="28"/>
        <v>3025</v>
      </c>
      <c r="C292" s="36"/>
    </row>
    <row r="293" spans="1:6" x14ac:dyDescent="0.15">
      <c r="A293" s="174">
        <f t="shared" si="27"/>
        <v>44228</v>
      </c>
      <c r="B293" s="176">
        <f t="shared" si="28"/>
        <v>4891</v>
      </c>
      <c r="C293" s="36"/>
    </row>
    <row r="294" spans="1:6" x14ac:dyDescent="0.15">
      <c r="A294" s="174">
        <f t="shared" si="27"/>
        <v>44256</v>
      </c>
      <c r="B294" s="176">
        <f t="shared" si="28"/>
        <v>3475</v>
      </c>
      <c r="C294" s="36"/>
    </row>
    <row r="295" spans="1:6" x14ac:dyDescent="0.15">
      <c r="A295" s="174">
        <f t="shared" si="27"/>
        <v>44287</v>
      </c>
      <c r="B295" s="176">
        <f t="shared" si="28"/>
        <v>-2963</v>
      </c>
      <c r="C295" s="36"/>
    </row>
    <row r="296" spans="1:6" x14ac:dyDescent="0.15">
      <c r="A296" s="174">
        <f t="shared" si="27"/>
        <v>44317</v>
      </c>
      <c r="B296" s="176">
        <f t="shared" si="28"/>
        <v>-122</v>
      </c>
      <c r="C296" s="36"/>
    </row>
    <row r="297" spans="1:6" x14ac:dyDescent="0.15">
      <c r="A297" s="174">
        <f t="shared" si="27"/>
        <v>44348</v>
      </c>
      <c r="B297" s="176">
        <f t="shared" si="28"/>
        <v>8862</v>
      </c>
      <c r="C297" s="36"/>
    </row>
    <row r="298" spans="1:6" x14ac:dyDescent="0.15">
      <c r="A298" s="174">
        <f t="shared" si="27"/>
        <v>44378</v>
      </c>
      <c r="B298" s="176">
        <f t="shared" si="28"/>
        <v>191650</v>
      </c>
      <c r="C298" s="36"/>
      <c r="E298" s="36"/>
    </row>
    <row r="299" spans="1:6" x14ac:dyDescent="0.15">
      <c r="A299" s="174">
        <f t="shared" si="27"/>
        <v>44409</v>
      </c>
      <c r="B299" s="176">
        <f t="shared" si="28"/>
        <v>431542</v>
      </c>
      <c r="C299" s="36"/>
      <c r="D299" s="36"/>
    </row>
    <row r="300" spans="1:6" x14ac:dyDescent="0.15">
      <c r="A300" s="174">
        <f t="shared" si="27"/>
        <v>44440</v>
      </c>
      <c r="B300" s="176">
        <f t="shared" si="28"/>
        <v>-585783</v>
      </c>
      <c r="C300" s="36"/>
    </row>
    <row r="301" spans="1:6" x14ac:dyDescent="0.15">
      <c r="A301" s="76"/>
      <c r="B301" s="36"/>
    </row>
    <row r="302" spans="1:6" x14ac:dyDescent="0.15">
      <c r="A302" s="76"/>
      <c r="D302" s="241"/>
      <c r="F302" s="72" t="s">
        <v>122</v>
      </c>
    </row>
    <row r="303" spans="1:6" x14ac:dyDescent="0.15">
      <c r="A303" s="34" t="s">
        <v>61</v>
      </c>
      <c r="C303" s="240"/>
      <c r="D303" s="241"/>
    </row>
    <row r="304" spans="1:6" x14ac:dyDescent="0.15">
      <c r="A304" s="92"/>
      <c r="B304" s="404" t="s">
        <v>81</v>
      </c>
      <c r="C304" s="405"/>
      <c r="D304" s="406"/>
    </row>
    <row r="305" spans="1:6" x14ac:dyDescent="0.15">
      <c r="A305" s="92" t="s">
        <v>60</v>
      </c>
      <c r="B305" s="92" t="s">
        <v>52</v>
      </c>
      <c r="C305" s="92" t="s">
        <v>53</v>
      </c>
      <c r="D305" s="92" t="s">
        <v>51</v>
      </c>
    </row>
    <row r="306" spans="1:6" x14ac:dyDescent="0.15">
      <c r="A306" s="92" t="s">
        <v>39</v>
      </c>
      <c r="B306" s="100"/>
      <c r="C306" s="100"/>
      <c r="D306" s="100"/>
    </row>
    <row r="307" spans="1:6" x14ac:dyDescent="0.15">
      <c r="A307" s="92" t="s">
        <v>40</v>
      </c>
      <c r="B307" s="100"/>
      <c r="C307" s="100"/>
      <c r="D307" s="100"/>
    </row>
    <row r="308" spans="1:6" x14ac:dyDescent="0.15">
      <c r="A308" s="185" t="s">
        <v>41</v>
      </c>
      <c r="B308" s="165">
        <v>592471</v>
      </c>
      <c r="C308" s="165">
        <v>6582527</v>
      </c>
      <c r="D308" s="165">
        <v>325462</v>
      </c>
    </row>
    <row r="309" spans="1:6" x14ac:dyDescent="0.15">
      <c r="A309" s="185" t="s">
        <v>42</v>
      </c>
      <c r="B309" s="165">
        <v>555306</v>
      </c>
      <c r="C309" s="165">
        <v>5791919</v>
      </c>
      <c r="D309" s="165">
        <v>298036</v>
      </c>
    </row>
    <row r="310" spans="1:6" x14ac:dyDescent="0.15">
      <c r="A310" s="185" t="s">
        <v>43</v>
      </c>
      <c r="B310" s="165">
        <v>399036</v>
      </c>
      <c r="C310" s="165">
        <v>4085298</v>
      </c>
      <c r="D310" s="165">
        <v>224482</v>
      </c>
    </row>
    <row r="311" spans="1:6" x14ac:dyDescent="0.15">
      <c r="A311" s="185" t="s">
        <v>45</v>
      </c>
      <c r="B311" s="165">
        <v>349520</v>
      </c>
      <c r="C311" s="165">
        <v>3443353</v>
      </c>
      <c r="D311" s="165">
        <v>198199</v>
      </c>
    </row>
    <row r="312" spans="1:6" x14ac:dyDescent="0.15">
      <c r="A312" s="212" t="s">
        <v>72</v>
      </c>
      <c r="B312" s="213">
        <v>318452</v>
      </c>
      <c r="C312" s="213">
        <v>3076663</v>
      </c>
      <c r="D312" s="213">
        <v>185720</v>
      </c>
    </row>
    <row r="313" spans="1:6" x14ac:dyDescent="0.15">
      <c r="A313" s="185" t="s">
        <v>92</v>
      </c>
      <c r="B313" s="165">
        <v>302452</v>
      </c>
      <c r="C313" s="165">
        <v>2925899</v>
      </c>
      <c r="D313" s="165">
        <v>198199</v>
      </c>
    </row>
    <row r="314" spans="1:6" x14ac:dyDescent="0.15">
      <c r="A314" s="185" t="s">
        <v>99</v>
      </c>
      <c r="B314" s="165">
        <v>294901</v>
      </c>
      <c r="C314" s="165">
        <v>3706912</v>
      </c>
      <c r="D314" s="165">
        <v>197163</v>
      </c>
      <c r="F314" s="72" t="s">
        <v>127</v>
      </c>
    </row>
    <row r="315" spans="1:6" x14ac:dyDescent="0.15">
      <c r="A315" s="274" t="s">
        <v>124</v>
      </c>
      <c r="B315" s="242">
        <v>272524</v>
      </c>
      <c r="C315" s="242">
        <v>1106932</v>
      </c>
      <c r="D315" s="243">
        <v>234658</v>
      </c>
    </row>
    <row r="316" spans="1:6" x14ac:dyDescent="0.15">
      <c r="A316" s="72" t="s">
        <v>158</v>
      </c>
      <c r="B316" s="72">
        <v>652966</v>
      </c>
      <c r="C316" s="72">
        <v>2561596</v>
      </c>
      <c r="D316" s="72">
        <v>537745</v>
      </c>
    </row>
    <row r="317" spans="1:6" x14ac:dyDescent="0.15">
      <c r="A317" s="273" t="s">
        <v>170</v>
      </c>
      <c r="B317" s="273">
        <v>1551417</v>
      </c>
      <c r="C317" s="273">
        <v>4861082</v>
      </c>
      <c r="D317" s="273">
        <v>1064634</v>
      </c>
    </row>
  </sheetData>
  <mergeCells count="2">
    <mergeCell ref="B236:D236"/>
    <mergeCell ref="B304:D304"/>
  </mergeCells>
  <phoneticPr fontId="27" type="noConversion"/>
  <pageMargins left="0.75" right="0.75" top="1" bottom="1" header="0.5" footer="0.5"/>
  <pageSetup scale="75" orientation="landscape" r:id="rId1"/>
  <headerFooter alignWithMargins="0"/>
  <ignoredErrors>
    <ignoredError sqref="B198:B199 B266:B267 E69 E16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AF86"/>
  <sheetViews>
    <sheetView zoomScale="140" zoomScaleNormal="140" zoomScaleSheetLayoutView="90" workbookViewId="0">
      <selection activeCell="A3" sqref="A3:XFD16"/>
    </sheetView>
  </sheetViews>
  <sheetFormatPr baseColWidth="10" defaultColWidth="8.83203125" defaultRowHeight="13" x14ac:dyDescent="0.15"/>
  <cols>
    <col min="1" max="2" width="6" customWidth="1"/>
    <col min="3" max="3" width="15.6640625" customWidth="1"/>
    <col min="4" max="4" width="22.5" customWidth="1"/>
    <col min="5" max="5" width="15.6640625" customWidth="1"/>
    <col min="6" max="6" width="17.5" customWidth="1"/>
    <col min="7" max="7" width="15.1640625" customWidth="1"/>
    <col min="8" max="8" width="18.83203125" bestFit="1" customWidth="1"/>
    <col min="9" max="9" width="13.83203125" bestFit="1" customWidth="1"/>
    <col min="10" max="10" width="14.33203125" customWidth="1"/>
    <col min="11" max="11" width="13.5" bestFit="1" customWidth="1"/>
    <col min="12" max="13" width="14.5" customWidth="1"/>
    <col min="14" max="14" width="12.83203125" customWidth="1"/>
    <col min="15" max="15" width="11.33203125" bestFit="1" customWidth="1"/>
    <col min="16" max="16" width="15" bestFit="1" customWidth="1"/>
    <col min="19" max="19" width="10.33203125" customWidth="1"/>
    <col min="21" max="21" width="9.5" customWidth="1"/>
    <col min="23" max="23" width="19.1640625" customWidth="1"/>
    <col min="24" max="24" width="41.1640625" customWidth="1"/>
    <col min="26" max="26" width="49.33203125" customWidth="1"/>
    <col min="27" max="27" width="19.1640625" customWidth="1"/>
  </cols>
  <sheetData>
    <row r="1" spans="1:32" ht="39" customHeight="1" x14ac:dyDescent="0.15">
      <c r="C1" s="403" t="s">
        <v>70</v>
      </c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W1" t="s">
        <v>172</v>
      </c>
      <c r="X1" t="s">
        <v>171</v>
      </c>
      <c r="AB1" t="s">
        <v>130</v>
      </c>
    </row>
    <row r="2" spans="1:32" ht="42" customHeight="1" thickBot="1" x14ac:dyDescent="0.2">
      <c r="A2" s="147"/>
      <c r="B2" t="s">
        <v>100</v>
      </c>
      <c r="U2" t="s">
        <v>212</v>
      </c>
      <c r="Z2" t="s">
        <v>173</v>
      </c>
      <c r="AA2" t="s">
        <v>98</v>
      </c>
      <c r="AE2" t="s">
        <v>174</v>
      </c>
      <c r="AF2" t="s">
        <v>165</v>
      </c>
    </row>
    <row r="3" spans="1:32" ht="43" thickBot="1" x14ac:dyDescent="0.2">
      <c r="C3" s="27" t="s">
        <v>36</v>
      </c>
      <c r="D3" s="28" t="s">
        <v>19</v>
      </c>
      <c r="E3" s="11" t="s">
        <v>147</v>
      </c>
      <c r="F3" s="11" t="s">
        <v>145</v>
      </c>
      <c r="G3" s="28" t="s">
        <v>20</v>
      </c>
      <c r="H3" s="28" t="s">
        <v>146</v>
      </c>
      <c r="I3" s="28" t="s">
        <v>144</v>
      </c>
      <c r="J3" s="28" t="s">
        <v>141</v>
      </c>
      <c r="K3" s="28" t="s">
        <v>142</v>
      </c>
      <c r="L3" s="198" t="s">
        <v>210</v>
      </c>
      <c r="M3" s="198" t="s">
        <v>211</v>
      </c>
      <c r="N3" s="11" t="s">
        <v>21</v>
      </c>
      <c r="O3" s="11" t="s">
        <v>71</v>
      </c>
      <c r="P3" s="198" t="s">
        <v>161</v>
      </c>
      <c r="Q3" s="198" t="s">
        <v>160</v>
      </c>
      <c r="R3" s="29" t="s">
        <v>22</v>
      </c>
      <c r="S3" s="29" t="s">
        <v>23</v>
      </c>
      <c r="T3" s="29" t="s">
        <v>24</v>
      </c>
      <c r="U3" s="244" t="s">
        <v>214</v>
      </c>
      <c r="V3" s="244" t="s">
        <v>213</v>
      </c>
      <c r="Z3" s="324" t="s">
        <v>150</v>
      </c>
      <c r="AA3" s="325">
        <v>14300</v>
      </c>
    </row>
    <row r="4" spans="1:32" ht="27" customHeight="1" thickBot="1" x14ac:dyDescent="0.2">
      <c r="C4" s="23" t="s">
        <v>3</v>
      </c>
      <c r="D4" s="197">
        <v>595</v>
      </c>
      <c r="F4" s="100">
        <v>46561</v>
      </c>
      <c r="G4" s="197">
        <v>3541</v>
      </c>
      <c r="I4" s="165">
        <f>F4+G4</f>
        <v>50102</v>
      </c>
      <c r="K4" s="100">
        <v>33355</v>
      </c>
      <c r="L4" s="139">
        <v>15.431535999999999</v>
      </c>
      <c r="M4" s="139">
        <v>995.15379882812499</v>
      </c>
      <c r="N4" s="137">
        <f>M4/365</f>
        <v>2.7264487639126713</v>
      </c>
      <c r="O4" s="139">
        <v>6517.6694140624995</v>
      </c>
      <c r="P4" s="139">
        <v>572.44000000000005</v>
      </c>
      <c r="Q4" s="139">
        <v>14.507801000000001</v>
      </c>
      <c r="R4" s="138">
        <f>$D35</f>
        <v>24.043609</v>
      </c>
      <c r="S4" s="138">
        <f>$D69</f>
        <v>3164.3391878759608</v>
      </c>
      <c r="T4" s="137">
        <f>S4/365</f>
        <v>8.6694224325368783</v>
      </c>
      <c r="U4" s="244"/>
      <c r="Z4" s="326" t="s">
        <v>195</v>
      </c>
      <c r="AA4" s="327" t="s">
        <v>196</v>
      </c>
    </row>
    <row r="5" spans="1:32" ht="20" thickBot="1" x14ac:dyDescent="0.2">
      <c r="C5" s="23" t="s">
        <v>4</v>
      </c>
      <c r="D5" s="197">
        <v>173</v>
      </c>
      <c r="F5" s="100">
        <v>264171</v>
      </c>
      <c r="G5" s="197">
        <v>804140</v>
      </c>
      <c r="I5" s="165">
        <f t="shared" ref="I5:I15" si="0">F5+G5</f>
        <v>1068311</v>
      </c>
      <c r="K5" s="100">
        <v>480179</v>
      </c>
      <c r="L5" s="139">
        <v>11.095789999999999</v>
      </c>
      <c r="M5" s="139">
        <v>5496.28</v>
      </c>
      <c r="N5" s="137">
        <f t="shared" ref="N5:N15" si="1">M5/365</f>
        <v>15.058301369863013</v>
      </c>
      <c r="O5" s="139">
        <v>17521.439999999999</v>
      </c>
      <c r="P5" s="139">
        <v>2369.6082128906251</v>
      </c>
      <c r="Q5" s="139">
        <v>4.5239000000000003</v>
      </c>
      <c r="R5" s="138">
        <f>$E35</f>
        <v>34.563133000000001</v>
      </c>
      <c r="S5" s="138">
        <f>$E69</f>
        <v>26178.076805144643</v>
      </c>
      <c r="T5" s="137">
        <f t="shared" ref="T5:T16" si="2">S5/365</f>
        <v>71.72075837025929</v>
      </c>
      <c r="U5" s="331">
        <v>14399.42</v>
      </c>
      <c r="V5">
        <v>12.587018</v>
      </c>
      <c r="Z5" s="326" t="s">
        <v>197</v>
      </c>
      <c r="AA5" s="328" t="s">
        <v>198</v>
      </c>
    </row>
    <row r="6" spans="1:32" ht="20" thickBot="1" x14ac:dyDescent="0.2">
      <c r="C6" s="23" t="s">
        <v>5</v>
      </c>
      <c r="D6" s="197">
        <v>214</v>
      </c>
      <c r="F6" s="100">
        <v>57182</v>
      </c>
      <c r="G6" s="197">
        <v>329875</v>
      </c>
      <c r="I6" s="165">
        <f t="shared" si="0"/>
        <v>387057</v>
      </c>
      <c r="K6" s="100">
        <v>97015</v>
      </c>
      <c r="L6" s="139">
        <v>40.36</v>
      </c>
      <c r="M6" s="139">
        <v>11.7</v>
      </c>
      <c r="N6" s="137">
        <f t="shared" si="1"/>
        <v>3.2054794520547943E-2</v>
      </c>
      <c r="O6" s="139">
        <v>51.2</v>
      </c>
      <c r="P6" s="139">
        <v>11.69</v>
      </c>
      <c r="Q6" s="139">
        <v>50.74</v>
      </c>
      <c r="R6" s="138">
        <f>$F35</f>
        <v>247.00965500000001</v>
      </c>
      <c r="S6" s="138">
        <f>$F69</f>
        <v>276.03156435923256</v>
      </c>
      <c r="T6" s="137">
        <f t="shared" si="2"/>
        <v>0.75625086125817143</v>
      </c>
      <c r="Z6" s="326" t="s">
        <v>0</v>
      </c>
      <c r="AA6" s="327" t="s">
        <v>199</v>
      </c>
    </row>
    <row r="7" spans="1:32" ht="20" thickBot="1" x14ac:dyDescent="0.2">
      <c r="C7" s="23" t="s">
        <v>6</v>
      </c>
      <c r="D7" s="197">
        <v>2671</v>
      </c>
      <c r="F7" s="100">
        <v>149257</v>
      </c>
      <c r="G7" s="197">
        <v>111283</v>
      </c>
      <c r="I7" s="165">
        <f t="shared" si="0"/>
        <v>260540</v>
      </c>
      <c r="K7" s="100">
        <v>274957</v>
      </c>
      <c r="L7" s="139">
        <v>39.619877000000002</v>
      </c>
      <c r="M7" s="139">
        <v>1241.8225683593751</v>
      </c>
      <c r="N7" s="137">
        <f t="shared" si="1"/>
        <v>3.4022536119434932</v>
      </c>
      <c r="O7" s="139">
        <v>4080.5473339843752</v>
      </c>
      <c r="P7" s="139">
        <v>1059.541962890625</v>
      </c>
      <c r="Q7" s="139">
        <v>33.316741</v>
      </c>
      <c r="R7" s="138">
        <f>$G35</f>
        <v>479.78938099999999</v>
      </c>
      <c r="S7" s="138">
        <f>$G69</f>
        <v>8196.3377035890444</v>
      </c>
      <c r="T7" s="137">
        <f t="shared" si="2"/>
        <v>22.455719735860395</v>
      </c>
      <c r="U7" s="331">
        <v>9.2883007812499994</v>
      </c>
      <c r="V7">
        <v>2.2922999999999999E-2</v>
      </c>
      <c r="Z7" s="326" t="s">
        <v>200</v>
      </c>
      <c r="AA7" s="329" t="s">
        <v>201</v>
      </c>
    </row>
    <row r="8" spans="1:32" ht="20" thickBot="1" x14ac:dyDescent="0.2">
      <c r="C8" s="23" t="s">
        <v>7</v>
      </c>
      <c r="D8" s="197">
        <v>588</v>
      </c>
      <c r="F8" s="100">
        <v>15085</v>
      </c>
      <c r="G8" s="197">
        <v>34573</v>
      </c>
      <c r="I8" s="165">
        <f t="shared" si="0"/>
        <v>49658</v>
      </c>
      <c r="K8" s="100">
        <v>16453</v>
      </c>
      <c r="L8" s="139">
        <v>7.7301650000000004</v>
      </c>
      <c r="M8" s="139">
        <v>24.538876953124998</v>
      </c>
      <c r="N8" s="137">
        <f t="shared" si="1"/>
        <v>6.7229799871575333E-2</v>
      </c>
      <c r="O8" s="139">
        <v>67.960849609375003</v>
      </c>
      <c r="P8" s="139">
        <v>4.9074023437500003</v>
      </c>
      <c r="Q8" s="139">
        <v>0.80873300000000004</v>
      </c>
      <c r="R8" s="138">
        <f>$H35</f>
        <v>13.966144</v>
      </c>
      <c r="S8" s="138">
        <f>$H69</f>
        <v>15.458082516180147</v>
      </c>
      <c r="T8" s="137">
        <f t="shared" si="2"/>
        <v>4.235091100323328E-2</v>
      </c>
      <c r="U8" s="331">
        <v>13.840849609375001</v>
      </c>
      <c r="V8">
        <v>0.11100400000000001</v>
      </c>
      <c r="Z8" s="326" t="s">
        <v>202</v>
      </c>
      <c r="AA8" s="329" t="s">
        <v>203</v>
      </c>
    </row>
    <row r="9" spans="1:32" ht="39" thickBot="1" x14ac:dyDescent="0.2">
      <c r="C9" s="25" t="s">
        <v>14</v>
      </c>
      <c r="D9" s="197">
        <v>683</v>
      </c>
      <c r="F9" s="100">
        <v>124215</v>
      </c>
      <c r="G9" s="197">
        <v>162502</v>
      </c>
      <c r="I9" s="165">
        <f t="shared" si="0"/>
        <v>286717</v>
      </c>
      <c r="K9" s="100">
        <v>184383</v>
      </c>
      <c r="L9" s="139">
        <v>86.709902999999997</v>
      </c>
      <c r="M9" s="139">
        <v>2670.8946484375001</v>
      </c>
      <c r="N9" s="137">
        <f t="shared" si="1"/>
        <v>7.3175195847602739</v>
      </c>
      <c r="O9" s="139">
        <v>7258.2962304687508</v>
      </c>
      <c r="P9" s="139">
        <v>1913.8327050781249</v>
      </c>
      <c r="Q9" s="139">
        <v>59.747523000000001</v>
      </c>
      <c r="R9" s="138">
        <f>$I35</f>
        <v>252.374606</v>
      </c>
      <c r="S9" s="138">
        <f>$I69</f>
        <v>5563.5739033607933</v>
      </c>
      <c r="T9" s="137">
        <f t="shared" si="2"/>
        <v>15.242668228385735</v>
      </c>
      <c r="U9" s="331">
        <v>476.81553710937499</v>
      </c>
      <c r="V9">
        <v>6.3778709999999998</v>
      </c>
      <c r="Z9" s="326" t="s">
        <v>204</v>
      </c>
      <c r="AA9" s="330" t="s">
        <v>205</v>
      </c>
    </row>
    <row r="10" spans="1:32" ht="39" thickBot="1" x14ac:dyDescent="0.2">
      <c r="C10" s="25" t="s">
        <v>123</v>
      </c>
      <c r="D10" s="197">
        <v>2386</v>
      </c>
      <c r="F10" s="100">
        <v>98112</v>
      </c>
      <c r="G10" s="197">
        <v>49793</v>
      </c>
      <c r="I10" s="165">
        <f t="shared" si="0"/>
        <v>147905</v>
      </c>
      <c r="K10" s="100">
        <v>233162</v>
      </c>
      <c r="L10" s="139">
        <v>651.10513400000002</v>
      </c>
      <c r="M10" s="139">
        <v>6565.9413964843752</v>
      </c>
      <c r="N10" s="137">
        <f t="shared" si="1"/>
        <v>17.988880538313357</v>
      </c>
      <c r="O10" s="139">
        <v>16560.643476562502</v>
      </c>
      <c r="P10" s="139">
        <v>4370.9574414062499</v>
      </c>
      <c r="Q10" s="139">
        <v>432.64860099999999</v>
      </c>
      <c r="R10" s="138">
        <f>$J35</f>
        <v>536.58246099999997</v>
      </c>
      <c r="S10" s="138">
        <f>$J69</f>
        <v>10949.505956707984</v>
      </c>
      <c r="T10" s="137">
        <f t="shared" si="2"/>
        <v>29.998646456734203</v>
      </c>
      <c r="Z10" s="326" t="s">
        <v>206</v>
      </c>
      <c r="AA10" s="330" t="s">
        <v>207</v>
      </c>
    </row>
    <row r="11" spans="1:32" ht="20" thickBot="1" x14ac:dyDescent="0.2">
      <c r="C11" s="25" t="s">
        <v>8</v>
      </c>
      <c r="D11" s="197">
        <v>1098</v>
      </c>
      <c r="F11" s="100">
        <v>377853</v>
      </c>
      <c r="G11" s="197">
        <v>13665</v>
      </c>
      <c r="I11" s="165">
        <f t="shared" si="0"/>
        <v>391518</v>
      </c>
      <c r="K11" s="100">
        <v>669496</v>
      </c>
      <c r="L11" s="139">
        <v>35.872061000000002</v>
      </c>
      <c r="M11" s="139">
        <v>1141.9202832031249</v>
      </c>
      <c r="N11" s="137">
        <f t="shared" si="1"/>
        <v>3.1285487211044516</v>
      </c>
      <c r="O11" s="139">
        <v>2348.3197167968751</v>
      </c>
      <c r="P11" s="139">
        <v>563.70396484374999</v>
      </c>
      <c r="Q11" s="139">
        <v>23.990248999999999</v>
      </c>
      <c r="R11" s="138">
        <f>$K35</f>
        <v>64.506292000000002</v>
      </c>
      <c r="S11" s="138">
        <f>$K69</f>
        <v>1662.7633851516339</v>
      </c>
      <c r="T11" s="137">
        <f t="shared" si="2"/>
        <v>4.5555161237031063</v>
      </c>
      <c r="U11" s="331">
        <v>260.29029296875001</v>
      </c>
      <c r="V11">
        <v>3.4629999999999999E-3</v>
      </c>
      <c r="Z11" s="326" t="s">
        <v>208</v>
      </c>
      <c r="AA11" s="327" t="s">
        <v>209</v>
      </c>
    </row>
    <row r="12" spans="1:32" ht="14" thickBot="1" x14ac:dyDescent="0.2">
      <c r="C12" s="25" t="s">
        <v>17</v>
      </c>
      <c r="D12" s="197">
        <v>385</v>
      </c>
      <c r="F12" s="100">
        <v>87690</v>
      </c>
      <c r="G12" s="197">
        <v>32563</v>
      </c>
      <c r="I12" s="165">
        <f t="shared" si="0"/>
        <v>120253</v>
      </c>
      <c r="K12" s="100">
        <v>133631</v>
      </c>
      <c r="L12" s="139">
        <v>4.1855010000000004</v>
      </c>
      <c r="M12" s="139">
        <v>629.78412109374995</v>
      </c>
      <c r="N12" s="137">
        <f t="shared" si="1"/>
        <v>1.7254359482020547</v>
      </c>
      <c r="O12" s="139">
        <v>4200.9305859374999</v>
      </c>
      <c r="P12" s="139">
        <v>847.98631835937499</v>
      </c>
      <c r="Q12" s="139">
        <v>33.912602</v>
      </c>
      <c r="R12" s="138">
        <f>$L35</f>
        <v>50.985855000000001</v>
      </c>
      <c r="S12" s="138">
        <f>$L69</f>
        <v>2072.4764548165576</v>
      </c>
      <c r="T12" s="137">
        <f t="shared" si="2"/>
        <v>5.6780176844289247</v>
      </c>
      <c r="AA12" t="s">
        <v>131</v>
      </c>
    </row>
    <row r="13" spans="1:32" ht="20" thickBot="1" x14ac:dyDescent="0.2">
      <c r="C13" s="25" t="s">
        <v>9</v>
      </c>
      <c r="D13" s="197">
        <v>2575</v>
      </c>
      <c r="F13" s="100">
        <v>54403</v>
      </c>
      <c r="G13" s="197">
        <v>27236</v>
      </c>
      <c r="I13" s="165">
        <f t="shared" si="0"/>
        <v>81639</v>
      </c>
      <c r="K13" s="100">
        <v>68344</v>
      </c>
      <c r="L13" s="139">
        <v>649.94052399999998</v>
      </c>
      <c r="M13" s="139">
        <v>183.776611328125</v>
      </c>
      <c r="N13" s="137">
        <f t="shared" si="1"/>
        <v>0.5034975652825342</v>
      </c>
      <c r="O13" s="139">
        <v>665.50272460937504</v>
      </c>
      <c r="P13" s="139">
        <v>38.44</v>
      </c>
      <c r="Q13" s="139">
        <v>0.35349900000000001</v>
      </c>
      <c r="R13" s="138">
        <f>$M35</f>
        <v>68.714117999999999</v>
      </c>
      <c r="S13" s="138">
        <f>$M69</f>
        <v>583.80616283701715</v>
      </c>
      <c r="T13" s="137">
        <f t="shared" si="2"/>
        <v>1.599468939279499</v>
      </c>
      <c r="U13" s="331">
        <v>29.673720703124999</v>
      </c>
      <c r="V13">
        <v>4.2396000000000003E-2</v>
      </c>
      <c r="Z13" s="324" t="s">
        <v>150</v>
      </c>
      <c r="AA13" s="325">
        <v>14300</v>
      </c>
      <c r="AC13" t="s">
        <v>104</v>
      </c>
    </row>
    <row r="14" spans="1:32" ht="26" customHeight="1" thickBot="1" x14ac:dyDescent="0.2">
      <c r="C14" s="25" t="s">
        <v>12</v>
      </c>
      <c r="D14" s="197">
        <v>1641</v>
      </c>
      <c r="F14" s="100">
        <v>48161</v>
      </c>
      <c r="G14" s="197">
        <v>28740</v>
      </c>
      <c r="I14" s="165">
        <f t="shared" si="0"/>
        <v>76901</v>
      </c>
      <c r="K14" s="100">
        <v>52948</v>
      </c>
      <c r="L14" s="139">
        <v>19.023408</v>
      </c>
      <c r="M14" s="139">
        <v>709.2333984375</v>
      </c>
      <c r="N14" s="137">
        <f t="shared" si="1"/>
        <v>1.9431052011986301</v>
      </c>
      <c r="O14" s="139">
        <v>1376.2587890625</v>
      </c>
      <c r="P14" s="139">
        <v>217.08</v>
      </c>
      <c r="Q14" s="139">
        <v>7.1094650000000001</v>
      </c>
      <c r="R14" s="138">
        <f>$N35</f>
        <v>8.4941469999999999</v>
      </c>
      <c r="S14" s="138">
        <f>$N69</f>
        <v>1446.7530219632524</v>
      </c>
      <c r="T14" s="137">
        <f t="shared" si="2"/>
        <v>3.963706909488363</v>
      </c>
      <c r="U14" s="331">
        <v>582.0859375</v>
      </c>
      <c r="V14">
        <v>0.64110800000000001</v>
      </c>
      <c r="Z14" s="326" t="s">
        <v>195</v>
      </c>
      <c r="AA14" s="327" t="s">
        <v>196</v>
      </c>
      <c r="AC14" t="s">
        <v>102</v>
      </c>
    </row>
    <row r="15" spans="1:32" ht="20" thickBot="1" x14ac:dyDescent="0.2">
      <c r="C15" s="25" t="s">
        <v>10</v>
      </c>
      <c r="D15" s="197">
        <v>467</v>
      </c>
      <c r="F15" s="100">
        <v>106416</v>
      </c>
      <c r="G15" s="197">
        <v>143445</v>
      </c>
      <c r="I15" s="165">
        <f t="shared" si="0"/>
        <v>249861</v>
      </c>
      <c r="K15" s="100">
        <v>136290</v>
      </c>
      <c r="L15" s="139">
        <v>3.1999999999999999E-5</v>
      </c>
      <c r="M15" s="139">
        <v>0.71536132812499997</v>
      </c>
      <c r="N15" s="137">
        <f t="shared" si="1"/>
        <v>1.9598940496575344E-3</v>
      </c>
      <c r="O15" s="139">
        <v>10.573564453125</v>
      </c>
      <c r="P15" s="139">
        <v>3.4571582031250001</v>
      </c>
      <c r="Q15" s="139">
        <v>7.2000000000000002E-5</v>
      </c>
      <c r="R15" s="138">
        <f>$O35</f>
        <v>1.268106</v>
      </c>
      <c r="S15" s="138">
        <f>$O69</f>
        <v>18.567785647362996</v>
      </c>
      <c r="T15" s="137">
        <f t="shared" si="2"/>
        <v>5.0870645609213686E-2</v>
      </c>
      <c r="Z15" s="326" t="s">
        <v>197</v>
      </c>
      <c r="AA15" s="328" t="s">
        <v>198</v>
      </c>
      <c r="AC15" t="s">
        <v>103</v>
      </c>
    </row>
    <row r="16" spans="1:32" s="3" customFormat="1" ht="22" customHeight="1" thickBot="1" x14ac:dyDescent="0.2">
      <c r="A16"/>
      <c r="B16"/>
      <c r="C16" s="26" t="s">
        <v>11</v>
      </c>
      <c r="D16" s="8">
        <f t="shared" ref="D16:M16" si="3">SUM(D4:D15)</f>
        <v>13476</v>
      </c>
      <c r="E16" s="8">
        <f t="shared" si="3"/>
        <v>0</v>
      </c>
      <c r="F16" s="8"/>
      <c r="G16" s="8">
        <f t="shared" si="3"/>
        <v>1741356</v>
      </c>
      <c r="H16" s="8">
        <f t="shared" si="3"/>
        <v>0</v>
      </c>
      <c r="I16" s="8">
        <f>SUM(I4:I15)</f>
        <v>3170462</v>
      </c>
      <c r="J16" s="8">
        <f t="shared" ref="J16" si="4">SUM(J4:J15)</f>
        <v>0</v>
      </c>
      <c r="K16" s="8">
        <f t="shared" si="3"/>
        <v>2380213</v>
      </c>
      <c r="L16" s="9">
        <f t="shared" si="3"/>
        <v>1561.0739309999999</v>
      </c>
      <c r="M16" s="9">
        <f t="shared" si="3"/>
        <v>19671.761064453131</v>
      </c>
      <c r="N16" s="10">
        <f>M16/365</f>
        <v>53.895235793022273</v>
      </c>
      <c r="O16" s="9">
        <f>SUM(O4:O15)</f>
        <v>60659.342685546879</v>
      </c>
      <c r="P16" s="9">
        <f>SUM(P4:P15)</f>
        <v>11973.645166015627</v>
      </c>
      <c r="Q16" s="9">
        <f>SUM(Q4:Q15)</f>
        <v>661.65918599999998</v>
      </c>
      <c r="R16" s="9">
        <f>SUM(R4:R15)</f>
        <v>1782.2975070000002</v>
      </c>
      <c r="S16" s="9">
        <f>SUM(S4:S15)</f>
        <v>60127.690013969681</v>
      </c>
      <c r="T16" s="137">
        <f t="shared" si="2"/>
        <v>164.73339729854706</v>
      </c>
      <c r="U16"/>
      <c r="W16"/>
      <c r="X16"/>
      <c r="Y16"/>
      <c r="Z16" s="326" t="s">
        <v>0</v>
      </c>
      <c r="AA16" s="327" t="s">
        <v>199</v>
      </c>
      <c r="AB16"/>
      <c r="AC16"/>
    </row>
    <row r="17" spans="1:28" s="3" customFormat="1" ht="20" thickBot="1" x14ac:dyDescent="0.2">
      <c r="A17" s="224"/>
      <c r="B17" s="224"/>
      <c r="C17" s="228" t="s">
        <v>112</v>
      </c>
      <c r="D17" s="228" t="s">
        <v>113</v>
      </c>
      <c r="E17" s="228" t="s">
        <v>114</v>
      </c>
      <c r="F17" s="228"/>
      <c r="G17" s="228" t="s">
        <v>115</v>
      </c>
      <c r="H17" s="228"/>
      <c r="I17" s="228"/>
      <c r="J17" s="230" t="s">
        <v>114</v>
      </c>
      <c r="K17" s="230" t="s">
        <v>114</v>
      </c>
      <c r="L17" s="229" t="s">
        <v>116</v>
      </c>
      <c r="M17" s="229" t="s">
        <v>117</v>
      </c>
      <c r="N17" s="228"/>
      <c r="O17" s="228" t="s">
        <v>118</v>
      </c>
      <c r="P17" s="229" t="s">
        <v>117</v>
      </c>
      <c r="Q17" s="229" t="s">
        <v>117</v>
      </c>
      <c r="R17" s="228"/>
      <c r="S17" s="228"/>
      <c r="T17" s="228"/>
      <c r="U17">
        <f>SUM(U5:U16)</f>
        <v>15771.414638671875</v>
      </c>
      <c r="V17">
        <f>SUM(V5:V16)</f>
        <v>19.785782999999999</v>
      </c>
      <c r="W17"/>
      <c r="X17"/>
      <c r="Y17"/>
      <c r="Z17" s="326" t="s">
        <v>200</v>
      </c>
      <c r="AA17" s="329" t="s">
        <v>201</v>
      </c>
      <c r="AB17"/>
    </row>
    <row r="18" spans="1:28" s="3" customFormat="1" ht="20" thickBot="1" x14ac:dyDescent="0.2">
      <c r="A18"/>
      <c r="B18"/>
      <c r="N18" s="3" t="s">
        <v>82</v>
      </c>
      <c r="U18" s="228"/>
      <c r="W18" s="228"/>
      <c r="Z18" s="326" t="s">
        <v>202</v>
      </c>
      <c r="AA18" s="329" t="s">
        <v>203</v>
      </c>
      <c r="AB18"/>
    </row>
    <row r="19" spans="1:28" ht="39" thickBot="1" x14ac:dyDescent="0.2">
      <c r="C19" s="39" t="s">
        <v>66</v>
      </c>
      <c r="I19" s="3"/>
      <c r="J19" s="3"/>
      <c r="K19" s="3"/>
      <c r="M19" s="3"/>
      <c r="N19" s="3"/>
      <c r="O19" s="3"/>
      <c r="U19" s="3"/>
      <c r="W19" s="3"/>
      <c r="Z19" s="326" t="s">
        <v>204</v>
      </c>
      <c r="AA19" s="330" t="s">
        <v>205</v>
      </c>
    </row>
    <row r="20" spans="1:28" ht="39" thickBot="1" x14ac:dyDescent="0.2">
      <c r="C20" t="s">
        <v>47</v>
      </c>
      <c r="D20" s="23" t="s">
        <v>3</v>
      </c>
      <c r="E20" s="23" t="s">
        <v>4</v>
      </c>
      <c r="F20" s="23" t="s">
        <v>5</v>
      </c>
      <c r="G20" s="23" t="s">
        <v>6</v>
      </c>
      <c r="H20" s="49" t="s">
        <v>7</v>
      </c>
      <c r="I20" s="25" t="s">
        <v>14</v>
      </c>
      <c r="J20" s="25" t="s">
        <v>123</v>
      </c>
      <c r="K20" s="25" t="s">
        <v>8</v>
      </c>
      <c r="L20" s="25" t="s">
        <v>17</v>
      </c>
      <c r="M20" s="25" t="s">
        <v>9</v>
      </c>
      <c r="N20" s="25" t="s">
        <v>12</v>
      </c>
      <c r="O20" s="25" t="s">
        <v>10</v>
      </c>
      <c r="P20" s="26" t="s">
        <v>11</v>
      </c>
      <c r="R20" s="50"/>
      <c r="S20" s="50"/>
      <c r="T20" s="50"/>
      <c r="V20" s="50"/>
      <c r="X20" s="50"/>
      <c r="Z20" s="326" t="s">
        <v>206</v>
      </c>
      <c r="AA20" s="330" t="s">
        <v>207</v>
      </c>
    </row>
    <row r="21" spans="1:28" ht="20" thickBot="1" x14ac:dyDescent="0.2">
      <c r="C21" s="32" t="s">
        <v>59</v>
      </c>
      <c r="D21" s="143">
        <f t="shared" ref="D21:O21" si="5">D38/1000000</f>
        <v>0</v>
      </c>
      <c r="E21" s="143">
        <f t="shared" si="5"/>
        <v>0</v>
      </c>
      <c r="F21" s="143">
        <f t="shared" si="5"/>
        <v>0</v>
      </c>
      <c r="G21" s="143">
        <f t="shared" si="5"/>
        <v>22.917339999999999</v>
      </c>
      <c r="H21" s="143">
        <f t="shared" si="5"/>
        <v>0</v>
      </c>
      <c r="I21" s="143">
        <f t="shared" si="5"/>
        <v>0.148617</v>
      </c>
      <c r="J21" s="143">
        <f t="shared" si="5"/>
        <v>33.570419000000001</v>
      </c>
      <c r="K21" s="143">
        <f t="shared" si="5"/>
        <v>0.64234100000000005</v>
      </c>
      <c r="L21" s="143">
        <f t="shared" si="5"/>
        <v>0</v>
      </c>
      <c r="M21" s="143">
        <f t="shared" si="5"/>
        <v>0</v>
      </c>
      <c r="N21" s="143">
        <f t="shared" si="5"/>
        <v>0</v>
      </c>
      <c r="O21" s="143">
        <f t="shared" si="5"/>
        <v>0</v>
      </c>
      <c r="P21" s="143">
        <f>SUM(D21:O21)</f>
        <v>57.278717</v>
      </c>
      <c r="U21" s="50"/>
      <c r="W21" s="50"/>
      <c r="Z21" s="326" t="s">
        <v>208</v>
      </c>
      <c r="AA21" s="327" t="s">
        <v>209</v>
      </c>
    </row>
    <row r="22" spans="1:28" ht="65" x14ac:dyDescent="0.15">
      <c r="C22" s="32" t="s">
        <v>37</v>
      </c>
      <c r="D22" s="143">
        <f t="shared" ref="D22:O22" si="6">D39/1000000</f>
        <v>3.5718839999999998</v>
      </c>
      <c r="E22" s="143">
        <f t="shared" si="6"/>
        <v>0.30386999999999997</v>
      </c>
      <c r="F22" s="143">
        <f t="shared" si="6"/>
        <v>0</v>
      </c>
      <c r="G22" s="143">
        <f t="shared" si="6"/>
        <v>38.747579999999999</v>
      </c>
      <c r="H22" s="143">
        <f t="shared" si="6"/>
        <v>10.177527</v>
      </c>
      <c r="I22" s="143">
        <f t="shared" si="6"/>
        <v>16.757476</v>
      </c>
      <c r="J22" s="143">
        <f t="shared" si="6"/>
        <v>47.736139999999999</v>
      </c>
      <c r="K22" s="143">
        <f t="shared" si="6"/>
        <v>10.732725</v>
      </c>
      <c r="L22" s="143">
        <f t="shared" si="6"/>
        <v>10.672893999999999</v>
      </c>
      <c r="M22" s="143">
        <f t="shared" si="6"/>
        <v>0.39932299999999998</v>
      </c>
      <c r="N22" s="143">
        <f t="shared" si="6"/>
        <v>16.487646000000002</v>
      </c>
      <c r="O22" s="143">
        <f t="shared" si="6"/>
        <v>7.4131000000000002E-2</v>
      </c>
      <c r="P22" s="143">
        <f>SUM(D22:O22)</f>
        <v>155.66119599999999</v>
      </c>
      <c r="Y22" s="115" t="s">
        <v>94</v>
      </c>
    </row>
    <row r="23" spans="1:28" ht="14" x14ac:dyDescent="0.15">
      <c r="C23" s="32" t="s">
        <v>38</v>
      </c>
      <c r="D23" s="143">
        <f t="shared" ref="D23:O23" si="7">D40/1000000</f>
        <v>5.1073000000000004</v>
      </c>
      <c r="E23" s="143">
        <f t="shared" si="7"/>
        <v>0.47285700000000003</v>
      </c>
      <c r="F23" s="143">
        <f t="shared" si="7"/>
        <v>37.058059999999998</v>
      </c>
      <c r="G23" s="143">
        <f t="shared" si="7"/>
        <v>54.500664</v>
      </c>
      <c r="H23" s="143">
        <f t="shared" si="7"/>
        <v>5.6774750000000003</v>
      </c>
      <c r="I23" s="143">
        <f t="shared" si="7"/>
        <v>38.827043000000003</v>
      </c>
      <c r="J23" s="143">
        <f t="shared" si="7"/>
        <v>47.205446000000002</v>
      </c>
      <c r="K23" s="143">
        <f t="shared" si="7"/>
        <v>17.247733</v>
      </c>
      <c r="L23" s="143">
        <f t="shared" si="7"/>
        <v>8.655132</v>
      </c>
      <c r="M23" s="143">
        <f t="shared" si="7"/>
        <v>7.6994199999999999</v>
      </c>
      <c r="N23" s="143">
        <f t="shared" si="7"/>
        <v>31.722079000000001</v>
      </c>
      <c r="O23" s="143">
        <f t="shared" si="7"/>
        <v>0.49062</v>
      </c>
      <c r="P23" s="143">
        <f t="shared" ref="P23:P29" si="8">SUM(D23:O23)</f>
        <v>254.66382900000002</v>
      </c>
    </row>
    <row r="24" spans="1:28" ht="14" x14ac:dyDescent="0.15">
      <c r="C24" s="32" t="s">
        <v>39</v>
      </c>
      <c r="D24" s="143">
        <f t="shared" ref="D24:O24" si="9">D41/1000000</f>
        <v>4.4062020000000004</v>
      </c>
      <c r="E24" s="143">
        <f t="shared" si="9"/>
        <v>0.101671</v>
      </c>
      <c r="F24" s="143">
        <f t="shared" si="9"/>
        <v>52.599871</v>
      </c>
      <c r="G24" s="143">
        <f t="shared" si="9"/>
        <v>84.223157999999998</v>
      </c>
      <c r="H24" s="143">
        <f t="shared" si="9"/>
        <v>0.65940500000000002</v>
      </c>
      <c r="I24" s="143">
        <f t="shared" si="9"/>
        <v>51.945273</v>
      </c>
      <c r="J24" s="143">
        <f t="shared" si="9"/>
        <v>79.756398000000004</v>
      </c>
      <c r="K24" s="143">
        <f t="shared" si="9"/>
        <v>22.897912999999999</v>
      </c>
      <c r="L24" s="143">
        <f t="shared" si="9"/>
        <v>12.42596</v>
      </c>
      <c r="M24" s="143">
        <f t="shared" si="9"/>
        <v>49.882874999999999</v>
      </c>
      <c r="N24" s="143">
        <f t="shared" si="9"/>
        <v>50.334622000000003</v>
      </c>
      <c r="O24" s="143">
        <f t="shared" si="9"/>
        <v>3.5663849999999999</v>
      </c>
      <c r="P24" s="143">
        <f t="shared" si="8"/>
        <v>412.799733</v>
      </c>
    </row>
    <row r="25" spans="1:28" ht="14" x14ac:dyDescent="0.15">
      <c r="C25" s="32" t="s">
        <v>40</v>
      </c>
      <c r="D25" s="143">
        <f t="shared" ref="D25:O25" si="10">D42/1000000</f>
        <v>5.042249</v>
      </c>
      <c r="E25" s="143">
        <f t="shared" si="10"/>
        <v>0.36860900000000002</v>
      </c>
      <c r="F25" s="143">
        <f t="shared" si="10"/>
        <v>112.330657</v>
      </c>
      <c r="G25" s="143">
        <f t="shared" si="10"/>
        <v>133.841386</v>
      </c>
      <c r="H25" s="143">
        <f t="shared" si="10"/>
        <v>0.72013300000000002</v>
      </c>
      <c r="I25" s="143">
        <f t="shared" si="10"/>
        <v>63.965963000000002</v>
      </c>
      <c r="J25" s="143">
        <f t="shared" si="10"/>
        <v>98.766036999999997</v>
      </c>
      <c r="K25" s="143">
        <f t="shared" si="10"/>
        <v>20.180631999999999</v>
      </c>
      <c r="L25" s="143">
        <f t="shared" si="10"/>
        <v>20.538207</v>
      </c>
      <c r="M25" s="143">
        <f t="shared" si="10"/>
        <v>3.194725</v>
      </c>
      <c r="N25" s="143">
        <f t="shared" si="10"/>
        <v>38.272939999999998</v>
      </c>
      <c r="O25" s="143">
        <f t="shared" si="10"/>
        <v>4.1586509999999999</v>
      </c>
      <c r="P25" s="143">
        <f t="shared" si="8"/>
        <v>501.38018900000003</v>
      </c>
    </row>
    <row r="26" spans="1:28" ht="14" x14ac:dyDescent="0.15">
      <c r="C26" s="32" t="s">
        <v>41</v>
      </c>
      <c r="D26" s="143">
        <f t="shared" ref="D26:O26" si="11">D43/1000000</f>
        <v>10.626249</v>
      </c>
      <c r="E26" s="143">
        <f t="shared" si="11"/>
        <v>0.846248</v>
      </c>
      <c r="F26" s="143">
        <f t="shared" si="11"/>
        <v>120.025964</v>
      </c>
      <c r="G26" s="143">
        <f t="shared" si="11"/>
        <v>168.67674700000001</v>
      </c>
      <c r="H26" s="143">
        <f t="shared" si="11"/>
        <v>0.79108500000000004</v>
      </c>
      <c r="I26" s="143">
        <f t="shared" si="11"/>
        <v>70.588599000000002</v>
      </c>
      <c r="J26" s="143">
        <f t="shared" si="11"/>
        <v>95.246110000000002</v>
      </c>
      <c r="K26" s="143">
        <f t="shared" si="11"/>
        <v>24.339347</v>
      </c>
      <c r="L26" s="143">
        <f t="shared" si="11"/>
        <v>16.768246000000001</v>
      </c>
      <c r="M26" s="143">
        <f t="shared" si="11"/>
        <v>6.7061929999999998</v>
      </c>
      <c r="N26" s="143">
        <f t="shared" si="11"/>
        <v>54.068233999999997</v>
      </c>
      <c r="O26" s="143">
        <f t="shared" si="11"/>
        <v>1.5993269999999999</v>
      </c>
      <c r="P26" s="143">
        <f t="shared" si="8"/>
        <v>570.28234899999995</v>
      </c>
    </row>
    <row r="27" spans="1:28" ht="14" x14ac:dyDescent="0.15">
      <c r="C27" s="32" t="s">
        <v>42</v>
      </c>
      <c r="D27" s="143">
        <f t="shared" ref="D27:O27" si="12">D44/1000000</f>
        <v>10.212370999999999</v>
      </c>
      <c r="E27" s="143">
        <f t="shared" si="12"/>
        <v>0.67360799999999998</v>
      </c>
      <c r="F27" s="143">
        <f t="shared" si="12"/>
        <v>120.930572</v>
      </c>
      <c r="G27" s="143">
        <f t="shared" si="12"/>
        <v>209.906859</v>
      </c>
      <c r="H27" s="143">
        <f t="shared" si="12"/>
        <v>4.4349480000000003</v>
      </c>
      <c r="I27" s="143">
        <f t="shared" si="12"/>
        <v>111.743424</v>
      </c>
      <c r="J27" s="143">
        <f t="shared" si="12"/>
        <v>135.28649799999999</v>
      </c>
      <c r="K27" s="143">
        <f t="shared" si="12"/>
        <v>38.223084999999998</v>
      </c>
      <c r="L27" s="143">
        <f t="shared" si="12"/>
        <v>18.293759999999999</v>
      </c>
      <c r="M27" s="143">
        <f t="shared" si="12"/>
        <v>5.756697</v>
      </c>
      <c r="N27" s="143">
        <f t="shared" si="12"/>
        <v>89.251096000000004</v>
      </c>
      <c r="O27" s="143">
        <f t="shared" si="12"/>
        <v>4.6872220000000002</v>
      </c>
      <c r="P27" s="143">
        <f t="shared" si="8"/>
        <v>749.40014000000008</v>
      </c>
    </row>
    <row r="28" spans="1:28" ht="14" x14ac:dyDescent="0.15">
      <c r="C28" s="32" t="s">
        <v>43</v>
      </c>
      <c r="D28" s="143">
        <f t="shared" ref="D28:O28" si="13">D45/1000000</f>
        <v>15.472293000000001</v>
      </c>
      <c r="E28" s="143">
        <f t="shared" si="13"/>
        <v>1.1101460000000001</v>
      </c>
      <c r="F28" s="143">
        <f t="shared" si="13"/>
        <v>144.29374799999999</v>
      </c>
      <c r="G28" s="143">
        <f t="shared" si="13"/>
        <v>283.25595800000002</v>
      </c>
      <c r="H28" s="143">
        <f t="shared" si="13"/>
        <v>4.4983519999999997</v>
      </c>
      <c r="I28" s="143">
        <f t="shared" si="13"/>
        <v>127.080485</v>
      </c>
      <c r="J28" s="143">
        <f t="shared" si="13"/>
        <v>196.13767899999999</v>
      </c>
      <c r="K28" s="143">
        <f t="shared" si="13"/>
        <v>67.730322000000001</v>
      </c>
      <c r="L28" s="143">
        <f t="shared" si="13"/>
        <v>27.464272000000001</v>
      </c>
      <c r="M28" s="143">
        <f t="shared" si="13"/>
        <v>13.607626</v>
      </c>
      <c r="N28" s="143">
        <f t="shared" si="13"/>
        <v>71.263045000000005</v>
      </c>
      <c r="O28" s="143">
        <f t="shared" si="13"/>
        <v>6.3922129999999999</v>
      </c>
      <c r="P28" s="143">
        <f t="shared" si="8"/>
        <v>958.30613900000003</v>
      </c>
    </row>
    <row r="29" spans="1:28" ht="14" x14ac:dyDescent="0.15">
      <c r="C29" s="32" t="s">
        <v>45</v>
      </c>
      <c r="D29" s="143">
        <f t="shared" ref="D29:O29" si="14">D46/1000000</f>
        <v>15.943277</v>
      </c>
      <c r="E29" s="143">
        <f t="shared" si="14"/>
        <v>2.0008599999999999</v>
      </c>
      <c r="F29" s="143">
        <f t="shared" si="14"/>
        <v>172.03639100000001</v>
      </c>
      <c r="G29" s="143">
        <f t="shared" si="14"/>
        <v>405.060654</v>
      </c>
      <c r="H29" s="143">
        <f t="shared" si="14"/>
        <v>6.3843249999999996</v>
      </c>
      <c r="I29" s="143">
        <f t="shared" si="14"/>
        <v>163.27644599999999</v>
      </c>
      <c r="J29" s="143">
        <f t="shared" si="14"/>
        <v>360.64454699999999</v>
      </c>
      <c r="K29" s="143">
        <f t="shared" si="14"/>
        <v>70.647366000000005</v>
      </c>
      <c r="L29" s="143">
        <f t="shared" si="14"/>
        <v>56.956518000000003</v>
      </c>
      <c r="M29" s="143">
        <f t="shared" si="14"/>
        <v>13.084823</v>
      </c>
      <c r="N29" s="143">
        <f t="shared" si="14"/>
        <v>77.176446999999996</v>
      </c>
      <c r="O29" s="143">
        <f t="shared" si="14"/>
        <v>7.6517379999999999</v>
      </c>
      <c r="P29" s="143">
        <f t="shared" si="8"/>
        <v>1350.863392</v>
      </c>
    </row>
    <row r="30" spans="1:28" ht="14" x14ac:dyDescent="0.15">
      <c r="C30" s="32" t="s">
        <v>72</v>
      </c>
      <c r="D30" s="143">
        <f t="shared" ref="D30:O30" si="15">D47/1000000</f>
        <v>18.483861999999998</v>
      </c>
      <c r="E30" s="143">
        <f t="shared" si="15"/>
        <v>5.1804249999999996</v>
      </c>
      <c r="F30" s="143">
        <f t="shared" si="15"/>
        <v>316.508622</v>
      </c>
      <c r="G30" s="143">
        <f t="shared" si="15"/>
        <v>409.16399200000001</v>
      </c>
      <c r="H30" s="143">
        <f t="shared" si="15"/>
        <v>3.9329890000000001</v>
      </c>
      <c r="I30" s="143">
        <f t="shared" si="15"/>
        <v>174.59097600000001</v>
      </c>
      <c r="J30" s="143">
        <f t="shared" si="15"/>
        <v>230.71311800000001</v>
      </c>
      <c r="K30" s="143">
        <f t="shared" si="15"/>
        <v>82.185432000000006</v>
      </c>
      <c r="L30" s="143">
        <f t="shared" si="15"/>
        <v>65.432243</v>
      </c>
      <c r="M30" s="143">
        <f t="shared" si="15"/>
        <v>31.550469</v>
      </c>
      <c r="N30" s="143">
        <f t="shared" si="15"/>
        <v>93.017982000000003</v>
      </c>
      <c r="O30" s="143">
        <f t="shared" si="15"/>
        <v>5.7873919999999996</v>
      </c>
      <c r="P30" s="143">
        <f t="shared" ref="P30:P35" si="16">SUM(D30:O30)</f>
        <v>1436.5475020000001</v>
      </c>
    </row>
    <row r="31" spans="1:28" ht="14" x14ac:dyDescent="0.15">
      <c r="C31" s="32" t="s">
        <v>92</v>
      </c>
      <c r="D31" s="143">
        <f t="shared" ref="D31:O31" si="17">D48/1000000</f>
        <v>31.037472000000001</v>
      </c>
      <c r="E31" s="143">
        <f t="shared" si="17"/>
        <v>6.6679250000000003</v>
      </c>
      <c r="F31" s="143">
        <f t="shared" si="17"/>
        <v>384.034918</v>
      </c>
      <c r="G31" s="143">
        <f t="shared" si="17"/>
        <v>257.50330300000002</v>
      </c>
      <c r="H31" s="143">
        <f t="shared" si="17"/>
        <v>6.8701800000000004</v>
      </c>
      <c r="I31" s="143">
        <f t="shared" si="17"/>
        <v>208.186137</v>
      </c>
      <c r="J31" s="143">
        <f t="shared" si="17"/>
        <v>107.761906</v>
      </c>
      <c r="K31" s="143">
        <f t="shared" si="17"/>
        <v>102.272879</v>
      </c>
      <c r="L31" s="143">
        <f t="shared" si="17"/>
        <v>47.917738</v>
      </c>
      <c r="M31" s="143">
        <f t="shared" si="17"/>
        <v>26.890238</v>
      </c>
      <c r="N31" s="143">
        <f t="shared" si="17"/>
        <v>87.788122999999999</v>
      </c>
      <c r="O31" s="143">
        <f t="shared" si="17"/>
        <v>3.5554549999999998</v>
      </c>
      <c r="P31" s="143">
        <f t="shared" si="16"/>
        <v>1270.4862740000001</v>
      </c>
    </row>
    <row r="32" spans="1:28" ht="14" x14ac:dyDescent="0.15">
      <c r="C32" s="32" t="s">
        <v>99</v>
      </c>
      <c r="D32" s="143">
        <f t="shared" ref="D32:O32" si="18">D49/1000000</f>
        <v>26.575334999999999</v>
      </c>
      <c r="E32" s="143">
        <f t="shared" si="18"/>
        <v>11.235903</v>
      </c>
      <c r="F32" s="143">
        <f t="shared" si="18"/>
        <v>348.31492200000002</v>
      </c>
      <c r="G32" s="143">
        <f t="shared" si="18"/>
        <v>297.73108400000001</v>
      </c>
      <c r="H32" s="143">
        <f t="shared" si="18"/>
        <v>7.1144410000000002</v>
      </c>
      <c r="I32" s="143">
        <f t="shared" si="18"/>
        <v>249.38378800000001</v>
      </c>
      <c r="J32" s="143">
        <f t="shared" si="18"/>
        <v>239.952279</v>
      </c>
      <c r="K32" s="143">
        <f t="shared" si="18"/>
        <v>157.13142500000001</v>
      </c>
      <c r="L32" s="143">
        <f t="shared" si="18"/>
        <v>55.382038000000001</v>
      </c>
      <c r="M32" s="143">
        <f t="shared" si="18"/>
        <v>34.901304000000003</v>
      </c>
      <c r="N32" s="143">
        <f t="shared" si="18"/>
        <v>48.444204999999997</v>
      </c>
      <c r="O32" s="143">
        <f t="shared" si="18"/>
        <v>0.89733200000000002</v>
      </c>
      <c r="P32" s="143">
        <f t="shared" si="16"/>
        <v>1477.0640560000002</v>
      </c>
    </row>
    <row r="33" spans="3:22" ht="14" x14ac:dyDescent="0.15">
      <c r="C33" s="32" t="s">
        <v>124</v>
      </c>
      <c r="D33" s="143">
        <f t="shared" ref="D33:O33" si="19">D50/1000000</f>
        <v>36.577519000000002</v>
      </c>
      <c r="E33" s="143">
        <f t="shared" si="19"/>
        <v>31.991156</v>
      </c>
      <c r="F33" s="143">
        <f t="shared" si="19"/>
        <v>390.72035199999999</v>
      </c>
      <c r="G33" s="143">
        <f t="shared" si="19"/>
        <v>408.14651099999998</v>
      </c>
      <c r="H33" s="143">
        <f t="shared" si="19"/>
        <v>76.927700999999999</v>
      </c>
      <c r="I33" s="143">
        <f t="shared" si="19"/>
        <v>276.07118400000002</v>
      </c>
      <c r="J33" s="143">
        <f t="shared" si="19"/>
        <v>371.42471999999998</v>
      </c>
      <c r="K33" s="143">
        <f t="shared" si="19"/>
        <v>68.86139</v>
      </c>
      <c r="L33" s="143">
        <f t="shared" si="19"/>
        <v>38.363185000000001</v>
      </c>
      <c r="M33" s="143">
        <f t="shared" si="19"/>
        <v>52.227103999999997</v>
      </c>
      <c r="N33" s="143">
        <f t="shared" si="19"/>
        <v>68.885910999999993</v>
      </c>
      <c r="O33" s="143">
        <f t="shared" si="19"/>
        <v>1.3879220000000001</v>
      </c>
      <c r="P33" s="143">
        <f t="shared" si="16"/>
        <v>1821.5846549999999</v>
      </c>
    </row>
    <row r="34" spans="3:22" ht="14" x14ac:dyDescent="0.15">
      <c r="C34" s="94" t="s">
        <v>158</v>
      </c>
      <c r="D34" s="143">
        <f t="shared" ref="D34:O34" si="20">D51/1000000</f>
        <v>22.938811000000001</v>
      </c>
      <c r="E34" s="143">
        <f t="shared" si="20"/>
        <v>39.777545000000003</v>
      </c>
      <c r="F34" s="143">
        <f t="shared" si="20"/>
        <v>373.78777500000001</v>
      </c>
      <c r="G34" s="143">
        <f t="shared" si="20"/>
        <v>428.93781000000001</v>
      </c>
      <c r="H34" s="143">
        <f t="shared" si="20"/>
        <v>8.3393150000000009</v>
      </c>
      <c r="I34" s="143">
        <f t="shared" si="20"/>
        <v>233.80064299999998</v>
      </c>
      <c r="J34" s="143">
        <f t="shared" si="20"/>
        <v>455.37547700000005</v>
      </c>
      <c r="K34" s="143">
        <f t="shared" si="20"/>
        <v>81.46244999999999</v>
      </c>
      <c r="L34" s="143">
        <f t="shared" si="20"/>
        <v>56.457978999999995</v>
      </c>
      <c r="M34" s="143">
        <f t="shared" si="20"/>
        <v>31.767076999999997</v>
      </c>
      <c r="N34" s="143">
        <f t="shared" si="20"/>
        <v>59.36428999999999</v>
      </c>
      <c r="O34" s="143">
        <f t="shared" si="20"/>
        <v>1.322913</v>
      </c>
      <c r="P34" s="143">
        <f t="shared" si="16"/>
        <v>1793.332085</v>
      </c>
    </row>
    <row r="35" spans="3:22" ht="14" x14ac:dyDescent="0.15">
      <c r="C35" s="94" t="s">
        <v>170</v>
      </c>
      <c r="D35" s="266">
        <f t="shared" ref="D35:O35" si="21">D52/1000000</f>
        <v>24.043609</v>
      </c>
      <c r="E35" s="266">
        <f t="shared" si="21"/>
        <v>34.563133000000001</v>
      </c>
      <c r="F35" s="266">
        <f t="shared" si="21"/>
        <v>247.00965500000001</v>
      </c>
      <c r="G35" s="266">
        <f t="shared" si="21"/>
        <v>479.78938099999999</v>
      </c>
      <c r="H35" s="266">
        <f t="shared" si="21"/>
        <v>13.966144</v>
      </c>
      <c r="I35" s="266">
        <f t="shared" si="21"/>
        <v>252.374606</v>
      </c>
      <c r="J35" s="266">
        <f t="shared" si="21"/>
        <v>536.58246099999997</v>
      </c>
      <c r="K35" s="266">
        <f t="shared" si="21"/>
        <v>64.506292000000002</v>
      </c>
      <c r="L35" s="266">
        <f t="shared" si="21"/>
        <v>50.985855000000001</v>
      </c>
      <c r="M35" s="266">
        <f t="shared" si="21"/>
        <v>68.714117999999999</v>
      </c>
      <c r="N35" s="266">
        <f t="shared" si="21"/>
        <v>8.4941469999999999</v>
      </c>
      <c r="O35" s="266">
        <f t="shared" si="21"/>
        <v>1.268106</v>
      </c>
      <c r="P35" s="266">
        <f t="shared" si="16"/>
        <v>1782.2975070000002</v>
      </c>
      <c r="R35" s="38"/>
      <c r="S35" s="38"/>
      <c r="T35" s="38"/>
      <c r="V35" s="38"/>
    </row>
    <row r="36" spans="3:22" x14ac:dyDescent="0.15">
      <c r="C36" s="39" t="s">
        <v>65</v>
      </c>
      <c r="D36" s="110"/>
      <c r="E36" s="110"/>
      <c r="F36" s="110"/>
      <c r="G36" s="110"/>
      <c r="H36" s="109"/>
      <c r="I36" s="109"/>
      <c r="J36" s="110"/>
      <c r="K36" s="109"/>
      <c r="L36" s="109"/>
      <c r="M36" s="109"/>
      <c r="N36" s="110"/>
      <c r="O36" s="110"/>
      <c r="P36" s="110"/>
      <c r="U36" s="38"/>
    </row>
    <row r="37" spans="3:22" x14ac:dyDescent="0.15">
      <c r="C37" t="s">
        <v>47</v>
      </c>
      <c r="D37" s="315" t="s">
        <v>3</v>
      </c>
      <c r="E37" s="315" t="s">
        <v>4</v>
      </c>
      <c r="F37" s="315" t="s">
        <v>5</v>
      </c>
      <c r="G37" s="316" t="s">
        <v>6</v>
      </c>
      <c r="H37" s="316" t="s">
        <v>7</v>
      </c>
      <c r="I37" s="317" t="s">
        <v>14</v>
      </c>
      <c r="J37" s="317" t="s">
        <v>123</v>
      </c>
      <c r="K37" s="317" t="s">
        <v>8</v>
      </c>
      <c r="L37" s="318" t="s">
        <v>17</v>
      </c>
      <c r="M37" s="318" t="s">
        <v>9</v>
      </c>
      <c r="N37" s="318" t="s">
        <v>12</v>
      </c>
      <c r="O37" s="318" t="s">
        <v>10</v>
      </c>
      <c r="P37" s="142" t="s">
        <v>11</v>
      </c>
    </row>
    <row r="38" spans="3:22" ht="14" x14ac:dyDescent="0.15">
      <c r="C38" s="32" t="s">
        <v>59</v>
      </c>
      <c r="D38" s="307"/>
      <c r="E38" s="307"/>
      <c r="F38" s="307"/>
      <c r="G38" s="319">
        <v>22917340</v>
      </c>
      <c r="H38" s="302"/>
      <c r="I38" s="319">
        <v>148617</v>
      </c>
      <c r="J38" s="319">
        <v>33570419</v>
      </c>
      <c r="K38" s="319">
        <v>642341</v>
      </c>
      <c r="L38" s="307"/>
      <c r="M38" s="307"/>
      <c r="N38" s="307"/>
      <c r="O38" s="307"/>
      <c r="P38" s="141">
        <f>SUM(D38:O38)</f>
        <v>57278717</v>
      </c>
    </row>
    <row r="39" spans="3:22" ht="14" x14ac:dyDescent="0.15">
      <c r="C39" s="32" t="s">
        <v>37</v>
      </c>
      <c r="D39" s="307">
        <v>3571884</v>
      </c>
      <c r="E39" s="307">
        <v>303870</v>
      </c>
      <c r="F39" s="307"/>
      <c r="G39" s="307">
        <v>38747580</v>
      </c>
      <c r="H39" s="307">
        <v>10177527</v>
      </c>
      <c r="I39" s="307">
        <v>16757476</v>
      </c>
      <c r="J39" s="307">
        <v>47736140</v>
      </c>
      <c r="K39" s="307">
        <v>10732725</v>
      </c>
      <c r="L39" s="307">
        <v>10672894</v>
      </c>
      <c r="M39" s="307">
        <v>399323</v>
      </c>
      <c r="N39" s="307">
        <v>16487646</v>
      </c>
      <c r="O39" s="307">
        <v>74131</v>
      </c>
      <c r="P39" s="141">
        <f>SUM(D39:O39)</f>
        <v>155661196</v>
      </c>
    </row>
    <row r="40" spans="3:22" ht="14" x14ac:dyDescent="0.15">
      <c r="C40" s="32" t="s">
        <v>38</v>
      </c>
      <c r="D40" s="307">
        <v>5107300</v>
      </c>
      <c r="E40" s="307">
        <v>472857</v>
      </c>
      <c r="F40" s="307">
        <v>37058060</v>
      </c>
      <c r="G40" s="307">
        <v>54500664</v>
      </c>
      <c r="H40" s="307">
        <v>5677475</v>
      </c>
      <c r="I40" s="307">
        <v>38827043</v>
      </c>
      <c r="J40" s="307">
        <v>47205446</v>
      </c>
      <c r="K40" s="307">
        <v>17247733</v>
      </c>
      <c r="L40" s="307">
        <v>8655132</v>
      </c>
      <c r="M40" s="307">
        <v>7699420</v>
      </c>
      <c r="N40" s="307">
        <v>31722079</v>
      </c>
      <c r="O40" s="307">
        <v>490620</v>
      </c>
      <c r="P40" s="141">
        <f t="shared" ref="P40:P46" si="22">SUM(D40:O40)</f>
        <v>254663829</v>
      </c>
    </row>
    <row r="41" spans="3:22" ht="14" x14ac:dyDescent="0.15">
      <c r="C41" s="32" t="s">
        <v>39</v>
      </c>
      <c r="D41" s="307">
        <v>4406202</v>
      </c>
      <c r="E41" s="307">
        <v>101671</v>
      </c>
      <c r="F41" s="307">
        <v>52599871</v>
      </c>
      <c r="G41" s="307">
        <v>84223158</v>
      </c>
      <c r="H41" s="307">
        <v>659405</v>
      </c>
      <c r="I41" s="307">
        <v>51945273</v>
      </c>
      <c r="J41" s="307">
        <v>79756398</v>
      </c>
      <c r="K41" s="307">
        <v>22897913</v>
      </c>
      <c r="L41" s="307">
        <v>12425960</v>
      </c>
      <c r="M41" s="307">
        <v>49882875</v>
      </c>
      <c r="N41" s="307">
        <v>50334622</v>
      </c>
      <c r="O41" s="307">
        <v>3566385</v>
      </c>
      <c r="P41" s="141">
        <f t="shared" si="22"/>
        <v>412799733</v>
      </c>
    </row>
    <row r="42" spans="3:22" ht="14" x14ac:dyDescent="0.15">
      <c r="C42" s="32" t="s">
        <v>40</v>
      </c>
      <c r="D42" s="307">
        <v>5042249</v>
      </c>
      <c r="E42" s="307">
        <v>368609</v>
      </c>
      <c r="F42" s="307">
        <v>112330657</v>
      </c>
      <c r="G42" s="307">
        <v>133841386</v>
      </c>
      <c r="H42" s="307">
        <v>720133</v>
      </c>
      <c r="I42" s="307">
        <v>63965963</v>
      </c>
      <c r="J42" s="307">
        <v>98766037</v>
      </c>
      <c r="K42" s="307">
        <v>20180632</v>
      </c>
      <c r="L42" s="307">
        <v>20538207</v>
      </c>
      <c r="M42" s="307">
        <v>3194725</v>
      </c>
      <c r="N42" s="307">
        <v>38272940</v>
      </c>
      <c r="O42" s="307">
        <v>4158651</v>
      </c>
      <c r="P42" s="141">
        <f t="shared" si="22"/>
        <v>501380189</v>
      </c>
    </row>
    <row r="43" spans="3:22" ht="14" x14ac:dyDescent="0.15">
      <c r="C43" s="32" t="s">
        <v>41</v>
      </c>
      <c r="D43" s="307">
        <v>10626249</v>
      </c>
      <c r="E43" s="307">
        <v>846248</v>
      </c>
      <c r="F43" s="307">
        <v>120025964</v>
      </c>
      <c r="G43" s="307">
        <v>168676747</v>
      </c>
      <c r="H43" s="307">
        <v>791085</v>
      </c>
      <c r="I43" s="307">
        <v>70588599</v>
      </c>
      <c r="J43" s="307">
        <v>95246110</v>
      </c>
      <c r="K43" s="307">
        <v>24339347</v>
      </c>
      <c r="L43" s="307">
        <v>16768246</v>
      </c>
      <c r="M43" s="307">
        <v>6706193</v>
      </c>
      <c r="N43" s="307">
        <v>54068234</v>
      </c>
      <c r="O43" s="307">
        <v>1599327</v>
      </c>
      <c r="P43" s="141">
        <f t="shared" si="22"/>
        <v>570282349</v>
      </c>
    </row>
    <row r="44" spans="3:22" ht="14" x14ac:dyDescent="0.15">
      <c r="C44" s="32" t="s">
        <v>42</v>
      </c>
      <c r="D44" s="307">
        <v>10212371</v>
      </c>
      <c r="E44" s="307">
        <v>673608</v>
      </c>
      <c r="F44" s="307">
        <v>120930572</v>
      </c>
      <c r="G44" s="307">
        <v>209906859</v>
      </c>
      <c r="H44" s="307">
        <v>4434948</v>
      </c>
      <c r="I44" s="307">
        <v>111743424</v>
      </c>
      <c r="J44" s="307">
        <v>135286498</v>
      </c>
      <c r="K44" s="307">
        <v>38223085</v>
      </c>
      <c r="L44" s="307">
        <v>18293760</v>
      </c>
      <c r="M44" s="307">
        <v>5756697</v>
      </c>
      <c r="N44" s="307">
        <v>89251096</v>
      </c>
      <c r="O44" s="307">
        <v>4687222</v>
      </c>
      <c r="P44" s="141">
        <f t="shared" si="22"/>
        <v>749400140</v>
      </c>
    </row>
    <row r="45" spans="3:22" ht="14" x14ac:dyDescent="0.15">
      <c r="C45" s="32" t="s">
        <v>43</v>
      </c>
      <c r="D45" s="307">
        <v>15472293</v>
      </c>
      <c r="E45" s="307">
        <v>1110146</v>
      </c>
      <c r="F45" s="307">
        <v>144293748</v>
      </c>
      <c r="G45" s="307">
        <v>283255958</v>
      </c>
      <c r="H45" s="307">
        <v>4498352</v>
      </c>
      <c r="I45" s="307">
        <v>127080485</v>
      </c>
      <c r="J45" s="307">
        <v>196137679</v>
      </c>
      <c r="K45" s="307">
        <v>67730322</v>
      </c>
      <c r="L45" s="307">
        <v>27464272</v>
      </c>
      <c r="M45" s="307">
        <v>13607626</v>
      </c>
      <c r="N45" s="307">
        <v>71263045</v>
      </c>
      <c r="O45" s="307">
        <v>6392213</v>
      </c>
      <c r="P45" s="141">
        <f t="shared" si="22"/>
        <v>958306139</v>
      </c>
    </row>
    <row r="46" spans="3:22" ht="14" x14ac:dyDescent="0.15">
      <c r="C46" s="32" t="s">
        <v>45</v>
      </c>
      <c r="D46" s="307">
        <v>15943277</v>
      </c>
      <c r="E46" s="307">
        <v>2000860</v>
      </c>
      <c r="F46" s="307">
        <v>172036391</v>
      </c>
      <c r="G46" s="307">
        <v>405060654</v>
      </c>
      <c r="H46" s="307">
        <v>6384325</v>
      </c>
      <c r="I46" s="307">
        <v>163276446</v>
      </c>
      <c r="J46" s="307">
        <v>360644547</v>
      </c>
      <c r="K46" s="307">
        <v>70647366</v>
      </c>
      <c r="L46" s="307">
        <v>56956518</v>
      </c>
      <c r="M46" s="307">
        <v>13084823</v>
      </c>
      <c r="N46" s="307">
        <v>77176447</v>
      </c>
      <c r="O46" s="307">
        <v>7651738</v>
      </c>
      <c r="P46" s="141">
        <f t="shared" si="22"/>
        <v>1350863392</v>
      </c>
    </row>
    <row r="47" spans="3:22" ht="14" x14ac:dyDescent="0.15">
      <c r="C47" s="32" t="s">
        <v>72</v>
      </c>
      <c r="D47" s="307">
        <v>18483862</v>
      </c>
      <c r="E47" s="307">
        <v>5180425</v>
      </c>
      <c r="F47" s="307">
        <v>316508622</v>
      </c>
      <c r="G47" s="307">
        <v>409163992</v>
      </c>
      <c r="H47" s="307">
        <v>3932989</v>
      </c>
      <c r="I47" s="307">
        <v>174590976</v>
      </c>
      <c r="J47" s="307">
        <v>230713118</v>
      </c>
      <c r="K47" s="307">
        <v>82185432</v>
      </c>
      <c r="L47" s="307">
        <v>65432243</v>
      </c>
      <c r="M47" s="307">
        <v>31550469</v>
      </c>
      <c r="N47" s="307">
        <v>93017982</v>
      </c>
      <c r="O47" s="307">
        <v>5787392</v>
      </c>
      <c r="P47" s="141">
        <f t="shared" ref="P47:P52" si="23">SUM(D47:O47)</f>
        <v>1436547502</v>
      </c>
    </row>
    <row r="48" spans="3:22" ht="14" x14ac:dyDescent="0.15">
      <c r="C48" s="32" t="s">
        <v>92</v>
      </c>
      <c r="D48" s="307">
        <v>31037472</v>
      </c>
      <c r="E48" s="307">
        <v>6667925</v>
      </c>
      <c r="F48" s="307">
        <v>384034918</v>
      </c>
      <c r="G48" s="307">
        <v>257503303</v>
      </c>
      <c r="H48" s="307">
        <v>6870180</v>
      </c>
      <c r="I48" s="307">
        <v>208186137</v>
      </c>
      <c r="J48" s="307">
        <v>107761906</v>
      </c>
      <c r="K48" s="307">
        <v>102272879</v>
      </c>
      <c r="L48" s="307">
        <v>47917738</v>
      </c>
      <c r="M48" s="307">
        <v>26890238</v>
      </c>
      <c r="N48" s="307">
        <v>87788123</v>
      </c>
      <c r="O48" s="307">
        <v>3555455</v>
      </c>
      <c r="P48" s="141">
        <f t="shared" si="23"/>
        <v>1270486274</v>
      </c>
    </row>
    <row r="49" spans="3:24" ht="14" x14ac:dyDescent="0.15">
      <c r="C49" s="32" t="s">
        <v>99</v>
      </c>
      <c r="D49" s="307">
        <v>26575335</v>
      </c>
      <c r="E49" s="307">
        <v>11235903</v>
      </c>
      <c r="F49" s="307">
        <v>348314922</v>
      </c>
      <c r="G49" s="307">
        <v>297731084</v>
      </c>
      <c r="H49" s="307">
        <v>7114441</v>
      </c>
      <c r="I49" s="307">
        <v>249383788</v>
      </c>
      <c r="J49" s="307">
        <v>239952279</v>
      </c>
      <c r="K49" s="307">
        <v>157131425</v>
      </c>
      <c r="L49" s="307">
        <v>55382038</v>
      </c>
      <c r="M49" s="307">
        <v>34901304</v>
      </c>
      <c r="N49" s="307">
        <v>48444205</v>
      </c>
      <c r="O49" s="307">
        <v>897332</v>
      </c>
      <c r="P49" s="141">
        <f t="shared" si="23"/>
        <v>1477064056</v>
      </c>
    </row>
    <row r="50" spans="3:24" ht="14" x14ac:dyDescent="0.15">
      <c r="C50" s="32" t="s">
        <v>124</v>
      </c>
      <c r="D50" s="307">
        <v>36577519</v>
      </c>
      <c r="E50" s="307">
        <v>31991156</v>
      </c>
      <c r="F50" s="307">
        <v>390720352</v>
      </c>
      <c r="G50" s="307">
        <v>408146511</v>
      </c>
      <c r="H50" s="307">
        <v>76927701</v>
      </c>
      <c r="I50" s="307">
        <v>276071184</v>
      </c>
      <c r="J50" s="307">
        <v>371424720</v>
      </c>
      <c r="K50" s="307">
        <v>68861390</v>
      </c>
      <c r="L50" s="307">
        <v>38363185</v>
      </c>
      <c r="M50" s="307">
        <v>52227104</v>
      </c>
      <c r="N50" s="307">
        <v>68885911</v>
      </c>
      <c r="O50" s="307">
        <v>1387922</v>
      </c>
      <c r="P50" s="141">
        <f t="shared" si="23"/>
        <v>1821584655</v>
      </c>
    </row>
    <row r="51" spans="3:24" ht="14" x14ac:dyDescent="0.15">
      <c r="C51" s="94" t="s">
        <v>158</v>
      </c>
      <c r="D51" s="307">
        <v>22938811</v>
      </c>
      <c r="E51" s="307">
        <v>39777545</v>
      </c>
      <c r="F51" s="307">
        <v>373787775</v>
      </c>
      <c r="G51" s="307">
        <v>428937810</v>
      </c>
      <c r="H51" s="307">
        <v>8339315.0000000009</v>
      </c>
      <c r="I51" s="307">
        <v>233800642.99999997</v>
      </c>
      <c r="J51" s="307">
        <v>455375477.00000006</v>
      </c>
      <c r="K51" s="307">
        <v>81462449.999999985</v>
      </c>
      <c r="L51" s="307">
        <v>56457978.999999993</v>
      </c>
      <c r="M51" s="307">
        <v>31767076.999999996</v>
      </c>
      <c r="N51" s="307">
        <v>59364289.999999993</v>
      </c>
      <c r="O51" s="307">
        <v>1322913</v>
      </c>
      <c r="P51" s="141">
        <f t="shared" si="23"/>
        <v>1793332085</v>
      </c>
    </row>
    <row r="52" spans="3:24" ht="14" x14ac:dyDescent="0.15">
      <c r="C52" s="94" t="s">
        <v>170</v>
      </c>
      <c r="D52" s="265">
        <v>24043609</v>
      </c>
      <c r="E52" s="265">
        <v>34563133</v>
      </c>
      <c r="F52" s="265">
        <v>247009655</v>
      </c>
      <c r="G52" s="265">
        <v>479789381</v>
      </c>
      <c r="H52" s="265">
        <v>13966144</v>
      </c>
      <c r="I52" s="265">
        <v>252374606</v>
      </c>
      <c r="J52" s="265">
        <v>536582461</v>
      </c>
      <c r="K52" s="265">
        <v>64506292</v>
      </c>
      <c r="L52" s="265">
        <v>50985855</v>
      </c>
      <c r="M52" s="265">
        <v>68714118</v>
      </c>
      <c r="N52" s="265">
        <v>8494147</v>
      </c>
      <c r="O52" s="265">
        <v>1268106</v>
      </c>
      <c r="P52" s="265">
        <f t="shared" si="23"/>
        <v>1782297507</v>
      </c>
    </row>
    <row r="53" spans="3:24" ht="14" x14ac:dyDescent="0.15">
      <c r="C53" s="37" t="s">
        <v>23</v>
      </c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</row>
    <row r="54" spans="3:24" x14ac:dyDescent="0.15">
      <c r="C54" t="s">
        <v>47</v>
      </c>
      <c r="D54" s="135" t="s">
        <v>3</v>
      </c>
      <c r="E54" s="135" t="s">
        <v>4</v>
      </c>
      <c r="F54" s="135" t="s">
        <v>5</v>
      </c>
      <c r="G54" s="135" t="s">
        <v>6</v>
      </c>
      <c r="H54" s="135" t="s">
        <v>7</v>
      </c>
      <c r="I54" s="140" t="s">
        <v>14</v>
      </c>
      <c r="J54" s="140" t="s">
        <v>123</v>
      </c>
      <c r="K54" s="140" t="s">
        <v>8</v>
      </c>
      <c r="L54" s="140" t="s">
        <v>17</v>
      </c>
      <c r="M54" s="140" t="s">
        <v>9</v>
      </c>
      <c r="N54" s="140" t="s">
        <v>12</v>
      </c>
      <c r="O54" s="140" t="s">
        <v>10</v>
      </c>
      <c r="P54" s="142" t="s">
        <v>11</v>
      </c>
    </row>
    <row r="55" spans="3:24" ht="14" x14ac:dyDescent="0.15">
      <c r="C55" s="32" t="s">
        <v>59</v>
      </c>
      <c r="D55" s="144">
        <f>D72/1024</f>
        <v>0</v>
      </c>
      <c r="E55" s="144">
        <f t="shared" ref="E55:O55" si="24">E72/1024</f>
        <v>0</v>
      </c>
      <c r="F55" s="144">
        <f t="shared" si="24"/>
        <v>0</v>
      </c>
      <c r="G55" s="144">
        <f t="shared" si="24"/>
        <v>72.887439727783203</v>
      </c>
      <c r="H55" s="144">
        <f t="shared" si="24"/>
        <v>0</v>
      </c>
      <c r="I55" s="144">
        <f t="shared" si="24"/>
        <v>6.6466856002807617</v>
      </c>
      <c r="J55" s="144">
        <f t="shared" si="24"/>
        <v>569.63172245025635</v>
      </c>
      <c r="K55" s="144">
        <f t="shared" si="24"/>
        <v>15.27695369720459</v>
      </c>
      <c r="L55" s="144">
        <f t="shared" si="24"/>
        <v>0</v>
      </c>
      <c r="M55" s="144">
        <f t="shared" si="24"/>
        <v>0</v>
      </c>
      <c r="N55" s="144">
        <f t="shared" si="24"/>
        <v>0</v>
      </c>
      <c r="O55" s="144">
        <f t="shared" si="24"/>
        <v>0</v>
      </c>
      <c r="P55" s="144">
        <f t="shared" ref="P55:P63" si="25">SUM(D55:O55)</f>
        <v>664.4428014755249</v>
      </c>
      <c r="X55" s="10"/>
    </row>
    <row r="56" spans="3:24" ht="14" x14ac:dyDescent="0.15">
      <c r="C56" s="32" t="s">
        <v>37</v>
      </c>
      <c r="D56" s="144">
        <f t="shared" ref="D56:O56" si="26">D73/1024</f>
        <v>167.13747070312499</v>
      </c>
      <c r="E56" s="144">
        <f t="shared" si="26"/>
        <v>16.502822265624999</v>
      </c>
      <c r="F56" s="144">
        <f t="shared" si="26"/>
        <v>0</v>
      </c>
      <c r="G56" s="144">
        <f t="shared" si="26"/>
        <v>302.798525390625</v>
      </c>
      <c r="H56" s="144">
        <f t="shared" si="26"/>
        <v>12.077285156249999</v>
      </c>
      <c r="I56" s="144">
        <f t="shared" si="26"/>
        <v>448.11910156250002</v>
      </c>
      <c r="J56" s="144">
        <f t="shared" si="26"/>
        <v>813.94316406250005</v>
      </c>
      <c r="K56" s="144">
        <f t="shared" si="26"/>
        <v>81.316943359375017</v>
      </c>
      <c r="L56" s="144">
        <f t="shared" si="26"/>
        <v>61.039814453125004</v>
      </c>
      <c r="M56" s="144">
        <f t="shared" si="26"/>
        <v>0.73624999999999996</v>
      </c>
      <c r="N56" s="144">
        <f t="shared" si="26"/>
        <v>62.173291015624997</v>
      </c>
      <c r="O56" s="144">
        <f t="shared" si="26"/>
        <v>6.4423828124999999E-2</v>
      </c>
      <c r="P56" s="144">
        <f t="shared" si="25"/>
        <v>1965.9090917968749</v>
      </c>
    </row>
    <row r="57" spans="3:24" ht="14" x14ac:dyDescent="0.15">
      <c r="C57" s="32" t="s">
        <v>38</v>
      </c>
      <c r="D57" s="144">
        <f t="shared" ref="D57:O57" si="27">D74/1024</f>
        <v>187.91737431887725</v>
      </c>
      <c r="E57" s="144">
        <f t="shared" si="27"/>
        <v>41.982201290367755</v>
      </c>
      <c r="F57" s="144">
        <f t="shared" si="27"/>
        <v>9.2010803301645563</v>
      </c>
      <c r="G57" s="144">
        <f t="shared" si="27"/>
        <v>487.31976638919554</v>
      </c>
      <c r="H57" s="144">
        <f t="shared" si="27"/>
        <v>8.6275993815233729</v>
      </c>
      <c r="I57" s="144">
        <f t="shared" si="27"/>
        <v>538.93535439403638</v>
      </c>
      <c r="J57" s="144">
        <f t="shared" si="27"/>
        <v>866.74800395509101</v>
      </c>
      <c r="K57" s="144">
        <f t="shared" si="27"/>
        <v>119.99649580963224</v>
      </c>
      <c r="L57" s="144">
        <f t="shared" si="27"/>
        <v>73.955380859374998</v>
      </c>
      <c r="M57" s="144">
        <f t="shared" si="27"/>
        <v>2.859052655876436</v>
      </c>
      <c r="N57" s="144">
        <f t="shared" si="27"/>
        <v>91.35252567675154</v>
      </c>
      <c r="O57" s="144">
        <f t="shared" si="27"/>
        <v>0.31630323165882113</v>
      </c>
      <c r="P57" s="144">
        <f t="shared" si="25"/>
        <v>2429.21113829255</v>
      </c>
    </row>
    <row r="58" spans="3:24" ht="14" x14ac:dyDescent="0.15">
      <c r="C58" s="32" t="s">
        <v>39</v>
      </c>
      <c r="D58" s="144">
        <f t="shared" ref="D58:O58" si="28">D75/1024</f>
        <v>232.70969726562498</v>
      </c>
      <c r="E58" s="144">
        <f t="shared" si="28"/>
        <v>2.6634765624999996</v>
      </c>
      <c r="F58" s="144">
        <f t="shared" si="28"/>
        <v>17.431845703124999</v>
      </c>
      <c r="G58" s="144">
        <f t="shared" si="28"/>
        <v>698.67523437499995</v>
      </c>
      <c r="H58" s="144">
        <f t="shared" si="28"/>
        <v>12.410048828124999</v>
      </c>
      <c r="I58" s="144">
        <f t="shared" si="28"/>
        <v>952.70526367187506</v>
      </c>
      <c r="J58" s="144">
        <f t="shared" si="28"/>
        <v>1287.3805273437499</v>
      </c>
      <c r="K58" s="144">
        <f t="shared" si="28"/>
        <v>140.17009765624999</v>
      </c>
      <c r="L58" s="144">
        <f t="shared" si="28"/>
        <v>173.84639648437499</v>
      </c>
      <c r="M58" s="144">
        <f t="shared" si="28"/>
        <v>4.9920605468749999</v>
      </c>
      <c r="N58" s="144">
        <f t="shared" si="28"/>
        <v>104.92124023437498</v>
      </c>
      <c r="O58" s="144">
        <f t="shared" si="28"/>
        <v>1.4294628906250002</v>
      </c>
      <c r="P58" s="144">
        <f t="shared" si="25"/>
        <v>3629.3353515624999</v>
      </c>
    </row>
    <row r="59" spans="3:24" ht="14" x14ac:dyDescent="0.15">
      <c r="C59" s="32" t="s">
        <v>40</v>
      </c>
      <c r="D59" s="144">
        <f t="shared" ref="D59:O59" si="29">D76/1024</f>
        <v>195.51196289062503</v>
      </c>
      <c r="E59" s="144">
        <f t="shared" si="29"/>
        <v>103.10643554687501</v>
      </c>
      <c r="F59" s="144">
        <f t="shared" si="29"/>
        <v>35.759873046874993</v>
      </c>
      <c r="G59" s="144">
        <f t="shared" si="29"/>
        <v>1042.4527050781248</v>
      </c>
      <c r="H59" s="144">
        <f t="shared" si="29"/>
        <v>5.9392285156250013</v>
      </c>
      <c r="I59" s="144">
        <f t="shared" si="29"/>
        <v>1178.54642578125</v>
      </c>
      <c r="J59" s="144">
        <f t="shared" si="29"/>
        <v>1578.3927832031247</v>
      </c>
      <c r="K59" s="144">
        <f t="shared" si="29"/>
        <v>185.13569335937498</v>
      </c>
      <c r="L59" s="144">
        <f t="shared" si="29"/>
        <v>282.97775390625003</v>
      </c>
      <c r="M59" s="144">
        <f t="shared" si="29"/>
        <v>7.1624121093750004</v>
      </c>
      <c r="N59" s="144">
        <f t="shared" si="29"/>
        <v>111.833525390625</v>
      </c>
      <c r="O59" s="144">
        <f t="shared" si="29"/>
        <v>2.8848242187499995</v>
      </c>
      <c r="P59" s="144">
        <f t="shared" si="25"/>
        <v>4729.7036230468739</v>
      </c>
    </row>
    <row r="60" spans="3:24" ht="14" x14ac:dyDescent="0.15">
      <c r="C60" s="32" t="s">
        <v>41</v>
      </c>
      <c r="D60" s="144">
        <f t="shared" ref="D60:O60" si="30">D77/1024</f>
        <v>643.93322265624988</v>
      </c>
      <c r="E60" s="144">
        <f t="shared" si="30"/>
        <v>188.17906250000001</v>
      </c>
      <c r="F60" s="144">
        <f t="shared" si="30"/>
        <v>37.516135742187501</v>
      </c>
      <c r="G60" s="144">
        <f t="shared" si="30"/>
        <v>1327.66482421875</v>
      </c>
      <c r="H60" s="144">
        <f t="shared" si="30"/>
        <v>7.2834960937500011</v>
      </c>
      <c r="I60" s="144">
        <f t="shared" si="30"/>
        <v>1200.866494140625</v>
      </c>
      <c r="J60" s="144">
        <f t="shared" si="30"/>
        <v>1289.7931152343751</v>
      </c>
      <c r="K60" s="144">
        <f t="shared" si="30"/>
        <v>168.339326171875</v>
      </c>
      <c r="L60" s="144">
        <f t="shared" si="30"/>
        <v>370.48637695312499</v>
      </c>
      <c r="M60" s="144">
        <f t="shared" si="30"/>
        <v>10.159755859375002</v>
      </c>
      <c r="N60" s="144">
        <f t="shared" si="30"/>
        <v>161.62029296874999</v>
      </c>
      <c r="O60" s="144">
        <f t="shared" si="30"/>
        <v>1.470908203125</v>
      </c>
      <c r="P60" s="144">
        <f t="shared" si="25"/>
        <v>5407.3130107421866</v>
      </c>
    </row>
    <row r="61" spans="3:24" ht="14" x14ac:dyDescent="0.15">
      <c r="C61" s="32" t="s">
        <v>42</v>
      </c>
      <c r="D61" s="144">
        <f t="shared" ref="D61:O61" si="31">D78/1024</f>
        <v>624.53989257812486</v>
      </c>
      <c r="E61" s="144">
        <f t="shared" si="31"/>
        <v>81.960292968749997</v>
      </c>
      <c r="F61" s="144">
        <f t="shared" si="31"/>
        <v>48.773496093749998</v>
      </c>
      <c r="G61" s="144">
        <f t="shared" si="31"/>
        <v>1942.4786035156249</v>
      </c>
      <c r="H61" s="144">
        <f t="shared" si="31"/>
        <v>6.9492285156250002</v>
      </c>
      <c r="I61" s="144">
        <f t="shared" si="31"/>
        <v>1456.1670898437501</v>
      </c>
      <c r="J61" s="144">
        <f t="shared" si="31"/>
        <v>2080.3925292968752</v>
      </c>
      <c r="K61" s="144">
        <f t="shared" si="31"/>
        <v>180.22646484374999</v>
      </c>
      <c r="L61" s="144">
        <f t="shared" si="31"/>
        <v>500.98374023437498</v>
      </c>
      <c r="M61" s="144">
        <f t="shared" si="31"/>
        <v>16.33041015625</v>
      </c>
      <c r="N61" s="144">
        <f t="shared" si="31"/>
        <v>232.35997070312499</v>
      </c>
      <c r="O61" s="144">
        <f t="shared" si="31"/>
        <v>2.5720312500000002</v>
      </c>
      <c r="P61" s="144">
        <f t="shared" si="25"/>
        <v>7173.7337499999994</v>
      </c>
    </row>
    <row r="62" spans="3:24" ht="14" x14ac:dyDescent="0.15">
      <c r="C62" s="32" t="s">
        <v>43</v>
      </c>
      <c r="D62" s="144">
        <f t="shared" ref="D62:O62" si="32">D79/1024</f>
        <v>1094.296884765625</v>
      </c>
      <c r="E62" s="144">
        <f t="shared" si="32"/>
        <v>349.97136718750005</v>
      </c>
      <c r="F62" s="144">
        <f t="shared" si="32"/>
        <v>72.337106445312514</v>
      </c>
      <c r="G62" s="144">
        <f t="shared" si="32"/>
        <v>1770.654091796875</v>
      </c>
      <c r="H62" s="144">
        <f t="shared" si="32"/>
        <v>8.9811523437499989</v>
      </c>
      <c r="I62" s="144">
        <f t="shared" si="32"/>
        <v>2132.9461816406251</v>
      </c>
      <c r="J62" s="144">
        <f t="shared" si="32"/>
        <v>3045.8086132812505</v>
      </c>
      <c r="K62" s="144">
        <f t="shared" si="32"/>
        <v>169.87938476562502</v>
      </c>
      <c r="L62" s="144">
        <f t="shared" si="32"/>
        <v>404.45936523437501</v>
      </c>
      <c r="M62" s="144">
        <f t="shared" si="32"/>
        <v>21.51076171875</v>
      </c>
      <c r="N62" s="144">
        <f t="shared" si="32"/>
        <v>207.10779296875</v>
      </c>
      <c r="O62" s="144">
        <f t="shared" si="32"/>
        <v>2.7203515624999999</v>
      </c>
      <c r="P62" s="144">
        <f t="shared" si="25"/>
        <v>9280.6730537109397</v>
      </c>
    </row>
    <row r="63" spans="3:24" ht="14" x14ac:dyDescent="0.15">
      <c r="C63" s="32" t="s">
        <v>45</v>
      </c>
      <c r="D63" s="144">
        <f t="shared" ref="D63:O63" si="33">D80/1024</f>
        <v>1142.3560986581349</v>
      </c>
      <c r="E63" s="144">
        <f t="shared" si="33"/>
        <v>189.67558521090592</v>
      </c>
      <c r="F63" s="144">
        <f t="shared" si="33"/>
        <v>93.666928523617443</v>
      </c>
      <c r="G63" s="144">
        <f t="shared" si="33"/>
        <v>2071.4167294902027</v>
      </c>
      <c r="H63" s="144">
        <f t="shared" si="33"/>
        <v>16.130874663122043</v>
      </c>
      <c r="I63" s="144">
        <f t="shared" si="33"/>
        <v>1801.2341377453145</v>
      </c>
      <c r="J63" s="144">
        <f t="shared" si="33"/>
        <v>3916.7340831344368</v>
      </c>
      <c r="K63" s="144">
        <f t="shared" si="33"/>
        <v>201.59095327375263</v>
      </c>
      <c r="L63" s="144">
        <f t="shared" si="33"/>
        <v>1191.0308301382825</v>
      </c>
      <c r="M63" s="144">
        <f t="shared" si="33"/>
        <v>20.427300843186408</v>
      </c>
      <c r="N63" s="144">
        <f t="shared" si="33"/>
        <v>300.98538081447828</v>
      </c>
      <c r="O63" s="144">
        <f t="shared" si="33"/>
        <v>1.672547038133412</v>
      </c>
      <c r="P63" s="144">
        <f t="shared" si="25"/>
        <v>10946.921449533569</v>
      </c>
    </row>
    <row r="64" spans="3:24" ht="14" x14ac:dyDescent="0.15">
      <c r="C64" s="32" t="s">
        <v>72</v>
      </c>
      <c r="D64" s="144">
        <f t="shared" ref="D64:O64" si="34">D81/1024</f>
        <v>1315.178235138271</v>
      </c>
      <c r="E64" s="144">
        <f t="shared" si="34"/>
        <v>625.93828388214115</v>
      </c>
      <c r="F64" s="144">
        <f t="shared" si="34"/>
        <v>143.02083835122664</v>
      </c>
      <c r="G64" s="144">
        <f t="shared" si="34"/>
        <v>4058.9668372702859</v>
      </c>
      <c r="H64" s="144">
        <f t="shared" si="34"/>
        <v>8.8443165346970822</v>
      </c>
      <c r="I64" s="144">
        <f t="shared" si="34"/>
        <v>2501.0258962979528</v>
      </c>
      <c r="J64" s="144">
        <f t="shared" si="34"/>
        <v>2935.5405872167821</v>
      </c>
      <c r="K64" s="144">
        <f t="shared" si="34"/>
        <v>262.98465774811689</v>
      </c>
      <c r="L64" s="144">
        <f t="shared" si="34"/>
        <v>1479.5026629857307</v>
      </c>
      <c r="M64" s="144">
        <f t="shared" si="34"/>
        <v>71.654050646128539</v>
      </c>
      <c r="N64" s="144">
        <f t="shared" si="34"/>
        <v>481.28024073248207</v>
      </c>
      <c r="O64" s="144">
        <f t="shared" si="34"/>
        <v>2.8853466487826123</v>
      </c>
      <c r="P64" s="144">
        <f>SUM(D64:O64)</f>
        <v>13886.821953452594</v>
      </c>
    </row>
    <row r="65" spans="3:16" ht="14" x14ac:dyDescent="0.15">
      <c r="C65" s="32" t="s">
        <v>92</v>
      </c>
      <c r="D65" s="144">
        <f t="shared" ref="D65:O65" si="35">D82/1024</f>
        <v>2378.330091915208</v>
      </c>
      <c r="E65" s="144">
        <f t="shared" si="35"/>
        <v>1418.5444757995174</v>
      </c>
      <c r="F65" s="144">
        <f t="shared" si="35"/>
        <v>151.56757468700411</v>
      </c>
      <c r="G65" s="144">
        <f t="shared" si="35"/>
        <v>5627.2969162931304</v>
      </c>
      <c r="H65" s="144">
        <f t="shared" si="35"/>
        <v>20.591103977747451</v>
      </c>
      <c r="I65" s="144">
        <f t="shared" si="35"/>
        <v>4255.6231546384679</v>
      </c>
      <c r="J65" s="144">
        <f t="shared" si="35"/>
        <v>2161.3215733560392</v>
      </c>
      <c r="K65" s="144">
        <f t="shared" si="35"/>
        <v>383.64800415002031</v>
      </c>
      <c r="L65" s="144">
        <f t="shared" si="35"/>
        <v>1388.5250310475176</v>
      </c>
      <c r="M65" s="144">
        <f t="shared" si="35"/>
        <v>169.07318274293493</v>
      </c>
      <c r="N65" s="144">
        <f t="shared" si="35"/>
        <v>547.693270146636</v>
      </c>
      <c r="O65" s="144">
        <f t="shared" si="35"/>
        <v>5.9447709620208062</v>
      </c>
      <c r="P65" s="144">
        <f>SUM(D65:O65)</f>
        <v>18508.159149716244</v>
      </c>
    </row>
    <row r="66" spans="3:16" ht="14" x14ac:dyDescent="0.15">
      <c r="C66" s="32" t="s">
        <v>99</v>
      </c>
      <c r="D66" s="144">
        <f t="shared" ref="D66:O66" si="36">D83/1024</f>
        <v>2313.0587907771337</v>
      </c>
      <c r="E66" s="144">
        <f t="shared" si="36"/>
        <v>4765.1611050831152</v>
      </c>
      <c r="F66" s="144">
        <f t="shared" si="36"/>
        <v>204.15549725133349</v>
      </c>
      <c r="G66" s="144">
        <f t="shared" si="36"/>
        <v>5034.0588623252679</v>
      </c>
      <c r="H66" s="144">
        <f t="shared" si="36"/>
        <v>12.591962663170269</v>
      </c>
      <c r="I66" s="144">
        <f t="shared" si="36"/>
        <v>4591.9783496847376</v>
      </c>
      <c r="J66" s="144">
        <f t="shared" si="36"/>
        <v>3807.4714743847521</v>
      </c>
      <c r="K66" s="144">
        <f t="shared" si="36"/>
        <v>542.40039763831942</v>
      </c>
      <c r="L66" s="144">
        <f t="shared" si="36"/>
        <v>1277.2397893217526</v>
      </c>
      <c r="M66" s="144">
        <f t="shared" si="36"/>
        <v>369.99535867868644</v>
      </c>
      <c r="N66" s="144">
        <f t="shared" si="36"/>
        <v>575.22878332717403</v>
      </c>
      <c r="O66" s="144">
        <f t="shared" si="36"/>
        <v>8.5406350103512469</v>
      </c>
      <c r="P66" s="144">
        <f>SUM(D66:O66)</f>
        <v>23501.881006145795</v>
      </c>
    </row>
    <row r="67" spans="3:16" ht="14" x14ac:dyDescent="0.15">
      <c r="C67" s="32" t="s">
        <v>124</v>
      </c>
      <c r="D67" s="144">
        <f t="shared" ref="D67:O67" si="37">D84/1024</f>
        <v>3142.6228653905268</v>
      </c>
      <c r="E67" s="144">
        <f t="shared" si="37"/>
        <v>7046.9466499104692</v>
      </c>
      <c r="F67" s="144">
        <f t="shared" si="37"/>
        <v>247.40886884517704</v>
      </c>
      <c r="G67" s="144">
        <f t="shared" si="37"/>
        <v>5609.586306892762</v>
      </c>
      <c r="H67" s="144">
        <f t="shared" si="37"/>
        <v>26.237466519949471</v>
      </c>
      <c r="I67" s="144">
        <f t="shared" si="37"/>
        <v>7854.7410374871542</v>
      </c>
      <c r="J67" s="144">
        <f t="shared" si="37"/>
        <v>9631.8542780975458</v>
      </c>
      <c r="K67" s="144">
        <f t="shared" si="37"/>
        <v>741.94191730615671</v>
      </c>
      <c r="L67" s="144">
        <f t="shared" si="37"/>
        <v>1419.2565291333219</v>
      </c>
      <c r="M67" s="144">
        <f t="shared" si="37"/>
        <v>334.68256025501478</v>
      </c>
      <c r="N67" s="144">
        <f t="shared" si="37"/>
        <v>608.16590161141198</v>
      </c>
      <c r="O67" s="144">
        <f t="shared" si="37"/>
        <v>13.233766058233382</v>
      </c>
      <c r="P67" s="144">
        <f>SUM(D67:O67)</f>
        <v>36676.67814750773</v>
      </c>
    </row>
    <row r="68" spans="3:16" ht="14" x14ac:dyDescent="0.15">
      <c r="C68" s="94" t="s">
        <v>158</v>
      </c>
      <c r="D68" s="144">
        <f t="shared" ref="D68:O68" si="38">D85/1024</f>
        <v>2427.3425886308532</v>
      </c>
      <c r="E68" s="144">
        <f t="shared" si="38"/>
        <v>15479.991969146842</v>
      </c>
      <c r="F68" s="144">
        <f t="shared" si="38"/>
        <v>356.48163042754214</v>
      </c>
      <c r="G68" s="144">
        <f t="shared" si="38"/>
        <v>7198.7309283590685</v>
      </c>
      <c r="H68" s="144">
        <f t="shared" si="38"/>
        <v>15.774109394924338</v>
      </c>
      <c r="I68" s="144">
        <f t="shared" si="38"/>
        <v>4295.675914706997</v>
      </c>
      <c r="J68" s="144">
        <f t="shared" si="38"/>
        <v>9482.8015255586179</v>
      </c>
      <c r="K68" s="144">
        <f t="shared" si="38"/>
        <v>1391.6840914633183</v>
      </c>
      <c r="L68" s="144">
        <f t="shared" si="38"/>
        <v>2258.0962122898009</v>
      </c>
      <c r="M68" s="144">
        <f t="shared" si="38"/>
        <v>275.63115082560773</v>
      </c>
      <c r="N68" s="144">
        <f t="shared" si="38"/>
        <v>946.38637886907759</v>
      </c>
      <c r="O68" s="144">
        <f t="shared" si="38"/>
        <v>14.656736233481688</v>
      </c>
      <c r="P68" s="144">
        <f t="shared" ref="P68" si="39">P84/1024</f>
        <v>36676.67814750773</v>
      </c>
    </row>
    <row r="69" spans="3:16" ht="14" x14ac:dyDescent="0.15">
      <c r="C69" s="94" t="s">
        <v>170</v>
      </c>
      <c r="D69" s="264">
        <v>3164.3391878759608</v>
      </c>
      <c r="E69" s="264">
        <v>26178.076805144643</v>
      </c>
      <c r="F69" s="264">
        <v>276.03156435923256</v>
      </c>
      <c r="G69" s="264">
        <v>8196.3377035890444</v>
      </c>
      <c r="H69" s="264">
        <v>15.458082516180147</v>
      </c>
      <c r="I69" s="264">
        <v>5563.5739033607933</v>
      </c>
      <c r="J69" s="264">
        <v>10949.505956707984</v>
      </c>
      <c r="K69" s="264">
        <v>1662.7633851516339</v>
      </c>
      <c r="L69" s="264">
        <v>2072.4764548165576</v>
      </c>
      <c r="M69" s="264">
        <v>583.80616283701715</v>
      </c>
      <c r="N69" s="264">
        <v>1446.7530219632524</v>
      </c>
      <c r="O69" s="264">
        <v>18.567785647362996</v>
      </c>
      <c r="P69" s="264">
        <v>60127.690013969681</v>
      </c>
    </row>
    <row r="70" spans="3:16" ht="14" x14ac:dyDescent="0.15">
      <c r="C70" s="37" t="s">
        <v>34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</row>
    <row r="71" spans="3:16" x14ac:dyDescent="0.15">
      <c r="C71" t="s">
        <v>47</v>
      </c>
      <c r="D71" s="315" t="s">
        <v>3</v>
      </c>
      <c r="E71" s="315" t="s">
        <v>4</v>
      </c>
      <c r="F71" s="315" t="s">
        <v>5</v>
      </c>
      <c r="G71" s="316" t="s">
        <v>6</v>
      </c>
      <c r="H71" s="316" t="s">
        <v>7</v>
      </c>
      <c r="I71" s="317" t="s">
        <v>14</v>
      </c>
      <c r="J71" s="317" t="s">
        <v>123</v>
      </c>
      <c r="K71" s="317" t="s">
        <v>8</v>
      </c>
      <c r="L71" s="318" t="s">
        <v>17</v>
      </c>
      <c r="M71" s="318" t="s">
        <v>9</v>
      </c>
      <c r="N71" s="318" t="s">
        <v>12</v>
      </c>
      <c r="O71" s="318" t="s">
        <v>10</v>
      </c>
      <c r="P71" s="142" t="s">
        <v>11</v>
      </c>
    </row>
    <row r="72" spans="3:16" ht="14" x14ac:dyDescent="0.15">
      <c r="C72" s="32" t="s">
        <v>59</v>
      </c>
      <c r="D72" s="320"/>
      <c r="E72" s="320"/>
      <c r="F72" s="320"/>
      <c r="G72" s="321">
        <v>74636.73828125</v>
      </c>
      <c r="H72" s="322"/>
      <c r="I72" s="321">
        <v>6806.2060546875</v>
      </c>
      <c r="J72" s="321">
        <v>583302.8837890625</v>
      </c>
      <c r="K72" s="321">
        <v>15643.6005859375</v>
      </c>
      <c r="L72" s="320"/>
      <c r="M72" s="320"/>
      <c r="N72" s="320"/>
      <c r="O72" s="320"/>
      <c r="P72" s="144">
        <f t="shared" ref="P72:P80" si="40">SUM(D72:O72)</f>
        <v>680389.4287109375</v>
      </c>
    </row>
    <row r="73" spans="3:16" ht="14" x14ac:dyDescent="0.15">
      <c r="C73" s="32" t="s">
        <v>37</v>
      </c>
      <c r="D73" s="320">
        <v>171148.77</v>
      </c>
      <c r="E73" s="320">
        <v>16898.89</v>
      </c>
      <c r="F73" s="320"/>
      <c r="G73" s="320">
        <v>310065.69</v>
      </c>
      <c r="H73" s="320">
        <v>12367.14</v>
      </c>
      <c r="I73" s="320">
        <v>458873.96</v>
      </c>
      <c r="J73" s="320">
        <v>833477.8</v>
      </c>
      <c r="K73" s="320">
        <v>83268.550000000017</v>
      </c>
      <c r="L73" s="320">
        <v>62504.770000000004</v>
      </c>
      <c r="M73" s="320">
        <v>753.92</v>
      </c>
      <c r="N73" s="320">
        <v>63665.45</v>
      </c>
      <c r="O73" s="320">
        <v>65.97</v>
      </c>
      <c r="P73" s="144">
        <f t="shared" si="40"/>
        <v>2013090.91</v>
      </c>
    </row>
    <row r="74" spans="3:16" ht="14" x14ac:dyDescent="0.15">
      <c r="C74" s="32" t="s">
        <v>38</v>
      </c>
      <c r="D74" s="320">
        <v>192427.3913025303</v>
      </c>
      <c r="E74" s="320">
        <v>42989.774121336581</v>
      </c>
      <c r="F74" s="320">
        <v>9421.9062580885056</v>
      </c>
      <c r="G74" s="320">
        <v>499015.44078253623</v>
      </c>
      <c r="H74" s="320">
        <v>8834.6617666799339</v>
      </c>
      <c r="I74" s="320">
        <v>551869.80289949325</v>
      </c>
      <c r="J74" s="320">
        <v>887549.95605001319</v>
      </c>
      <c r="K74" s="320">
        <v>122876.41170906341</v>
      </c>
      <c r="L74" s="323">
        <v>75730.31</v>
      </c>
      <c r="M74" s="320">
        <v>2927.6699196174704</v>
      </c>
      <c r="N74" s="320">
        <v>93544.986292993577</v>
      </c>
      <c r="O74" s="320">
        <v>323.89450921863283</v>
      </c>
      <c r="P74" s="144">
        <f t="shared" si="40"/>
        <v>2487512.2056115712</v>
      </c>
    </row>
    <row r="75" spans="3:16" ht="14" x14ac:dyDescent="0.15">
      <c r="C75" s="32" t="s">
        <v>39</v>
      </c>
      <c r="D75" s="320">
        <v>238294.72999999998</v>
      </c>
      <c r="E75" s="320">
        <v>2727.3999999999996</v>
      </c>
      <c r="F75" s="320">
        <v>17850.21</v>
      </c>
      <c r="G75" s="320">
        <v>715443.44</v>
      </c>
      <c r="H75" s="320">
        <v>12707.89</v>
      </c>
      <c r="I75" s="320">
        <v>975570.19000000006</v>
      </c>
      <c r="J75" s="320">
        <v>1318277.6599999999</v>
      </c>
      <c r="K75" s="320">
        <v>143534.18</v>
      </c>
      <c r="L75" s="320">
        <v>178018.71</v>
      </c>
      <c r="M75" s="320">
        <v>5111.87</v>
      </c>
      <c r="N75" s="320">
        <v>107439.34999999998</v>
      </c>
      <c r="O75" s="320">
        <v>1463.7700000000002</v>
      </c>
      <c r="P75" s="144">
        <f t="shared" si="40"/>
        <v>3716439.4</v>
      </c>
    </row>
    <row r="76" spans="3:16" ht="14" x14ac:dyDescent="0.15">
      <c r="C76" s="32" t="s">
        <v>40</v>
      </c>
      <c r="D76" s="320">
        <v>200204.25000000003</v>
      </c>
      <c r="E76" s="320">
        <v>105580.99</v>
      </c>
      <c r="F76" s="320">
        <v>36618.109999999993</v>
      </c>
      <c r="G76" s="320">
        <v>1067471.5699999998</v>
      </c>
      <c r="H76" s="320">
        <v>6081.7700000000013</v>
      </c>
      <c r="I76" s="320">
        <v>1206831.54</v>
      </c>
      <c r="J76" s="320">
        <v>1616274.2099999997</v>
      </c>
      <c r="K76" s="320">
        <v>189578.94999999998</v>
      </c>
      <c r="L76" s="320">
        <v>289769.22000000003</v>
      </c>
      <c r="M76" s="320">
        <v>7334.31</v>
      </c>
      <c r="N76" s="320">
        <v>114517.53</v>
      </c>
      <c r="O76" s="320">
        <v>2954.0599999999995</v>
      </c>
      <c r="P76" s="144">
        <f t="shared" si="40"/>
        <v>4843216.5099999988</v>
      </c>
    </row>
    <row r="77" spans="3:16" ht="14" x14ac:dyDescent="0.15">
      <c r="C77" s="32" t="s">
        <v>41</v>
      </c>
      <c r="D77" s="320">
        <v>659387.61999999988</v>
      </c>
      <c r="E77" s="320">
        <v>192695.36000000002</v>
      </c>
      <c r="F77" s="320">
        <v>38416.523000000001</v>
      </c>
      <c r="G77" s="320">
        <v>1359528.78</v>
      </c>
      <c r="H77" s="320">
        <v>7458.3000000000011</v>
      </c>
      <c r="I77" s="320">
        <v>1229687.29</v>
      </c>
      <c r="J77" s="320">
        <v>1320748.1500000001</v>
      </c>
      <c r="K77" s="320">
        <v>172379.47</v>
      </c>
      <c r="L77" s="320">
        <v>379378.05</v>
      </c>
      <c r="M77" s="320">
        <v>10403.590000000002</v>
      </c>
      <c r="N77" s="320">
        <v>165499.18</v>
      </c>
      <c r="O77" s="320">
        <v>1506.21</v>
      </c>
      <c r="P77" s="144">
        <f t="shared" si="40"/>
        <v>5537088.5229999991</v>
      </c>
    </row>
    <row r="78" spans="3:16" ht="14" x14ac:dyDescent="0.15">
      <c r="C78" s="32" t="s">
        <v>42</v>
      </c>
      <c r="D78" s="320">
        <v>639528.84999999986</v>
      </c>
      <c r="E78" s="320">
        <v>83927.34</v>
      </c>
      <c r="F78" s="320">
        <v>49944.06</v>
      </c>
      <c r="G78" s="320">
        <v>1989098.0899999999</v>
      </c>
      <c r="H78" s="320">
        <v>7116.01</v>
      </c>
      <c r="I78" s="320">
        <v>1491115.1</v>
      </c>
      <c r="J78" s="320">
        <v>2130321.9500000002</v>
      </c>
      <c r="K78" s="320">
        <v>184551.9</v>
      </c>
      <c r="L78" s="320">
        <v>513007.35</v>
      </c>
      <c r="M78" s="320">
        <v>16722.34</v>
      </c>
      <c r="N78" s="320">
        <v>237936.61</v>
      </c>
      <c r="O78" s="320">
        <v>2633.76</v>
      </c>
      <c r="P78" s="144">
        <f t="shared" si="40"/>
        <v>7345903.3599999994</v>
      </c>
    </row>
    <row r="79" spans="3:16" ht="14" x14ac:dyDescent="0.15">
      <c r="C79" s="32" t="s">
        <v>43</v>
      </c>
      <c r="D79" s="320">
        <v>1120560.01</v>
      </c>
      <c r="E79" s="320">
        <v>358370.68000000005</v>
      </c>
      <c r="F79" s="320">
        <v>74073.197000000015</v>
      </c>
      <c r="G79" s="320">
        <v>1813149.79</v>
      </c>
      <c r="H79" s="320">
        <v>9196.6999999999989</v>
      </c>
      <c r="I79" s="320">
        <v>2184136.89</v>
      </c>
      <c r="J79" s="320">
        <v>3118908.0200000005</v>
      </c>
      <c r="K79" s="320">
        <v>173956.49000000002</v>
      </c>
      <c r="L79" s="320">
        <v>414166.39</v>
      </c>
      <c r="M79" s="320">
        <v>22027.02</v>
      </c>
      <c r="N79" s="320">
        <v>212078.38</v>
      </c>
      <c r="O79" s="320">
        <v>2785.64</v>
      </c>
      <c r="P79" s="144">
        <f t="shared" si="40"/>
        <v>9503409.2070000023</v>
      </c>
    </row>
    <row r="80" spans="3:16" ht="14" x14ac:dyDescent="0.15">
      <c r="C80" s="32" t="s">
        <v>45</v>
      </c>
      <c r="D80" s="320">
        <v>1169772.6450259301</v>
      </c>
      <c r="E80" s="320">
        <v>194227.79925596766</v>
      </c>
      <c r="F80" s="320">
        <v>95914.934808184262</v>
      </c>
      <c r="G80" s="320">
        <v>2121130.7309979675</v>
      </c>
      <c r="H80" s="320">
        <v>16518.015655036972</v>
      </c>
      <c r="I80" s="320">
        <v>1844463.757051202</v>
      </c>
      <c r="J80" s="320">
        <v>4010735.7011296633</v>
      </c>
      <c r="K80" s="320">
        <v>206429.1361523227</v>
      </c>
      <c r="L80" s="320">
        <v>1219615.5700616012</v>
      </c>
      <c r="M80" s="320">
        <v>20917.556063422882</v>
      </c>
      <c r="N80" s="320">
        <v>308209.02995402575</v>
      </c>
      <c r="O80" s="320">
        <v>1712.6881670486139</v>
      </c>
      <c r="P80" s="144">
        <f t="shared" si="40"/>
        <v>11209647.564322375</v>
      </c>
    </row>
    <row r="81" spans="3:16" ht="14" x14ac:dyDescent="0.15">
      <c r="C81" s="32" t="s">
        <v>72</v>
      </c>
      <c r="D81" s="320">
        <v>1346742.5127815895</v>
      </c>
      <c r="E81" s="320">
        <v>640960.80269531254</v>
      </c>
      <c r="F81" s="320">
        <v>146453.33847165608</v>
      </c>
      <c r="G81" s="320">
        <v>4156382.0413647727</v>
      </c>
      <c r="H81" s="320">
        <v>9056.5801315298122</v>
      </c>
      <c r="I81" s="320">
        <v>2561050.5178091037</v>
      </c>
      <c r="J81" s="320">
        <v>3005993.5613099849</v>
      </c>
      <c r="K81" s="320">
        <v>269296.28953407169</v>
      </c>
      <c r="L81" s="320">
        <v>1515010.7268973882</v>
      </c>
      <c r="M81" s="320">
        <v>73373.747861635624</v>
      </c>
      <c r="N81" s="320">
        <v>492830.96651006164</v>
      </c>
      <c r="O81" s="320">
        <v>2954.594968353395</v>
      </c>
      <c r="P81" s="144">
        <f t="shared" ref="P81:P86" si="41">SUM(D81:O81)</f>
        <v>14220105.680335457</v>
      </c>
    </row>
    <row r="82" spans="3:16" ht="14" x14ac:dyDescent="0.15">
      <c r="C82" s="32" t="s">
        <v>92</v>
      </c>
      <c r="D82" s="320">
        <v>2435410.0141211729</v>
      </c>
      <c r="E82" s="320">
        <v>1452589.5432187058</v>
      </c>
      <c r="F82" s="320">
        <v>155205.19647949221</v>
      </c>
      <c r="G82" s="320">
        <v>5762352.0422841655</v>
      </c>
      <c r="H82" s="320">
        <v>21085.29047321339</v>
      </c>
      <c r="I82" s="320">
        <v>4357758.1103497911</v>
      </c>
      <c r="J82" s="320">
        <v>2213193.2911165841</v>
      </c>
      <c r="K82" s="320">
        <v>392855.5562496208</v>
      </c>
      <c r="L82" s="320">
        <v>1421849.631792658</v>
      </c>
      <c r="M82" s="320">
        <v>173130.93912876537</v>
      </c>
      <c r="N82" s="320">
        <v>560837.90863015526</v>
      </c>
      <c r="O82" s="320">
        <v>6087.4454651093056</v>
      </c>
      <c r="P82" s="144">
        <f t="shared" si="41"/>
        <v>18952354.969309434</v>
      </c>
    </row>
    <row r="83" spans="3:16" ht="14" x14ac:dyDescent="0.15">
      <c r="C83" s="32" t="s">
        <v>99</v>
      </c>
      <c r="D83" s="320">
        <v>2368572.2017557849</v>
      </c>
      <c r="E83" s="320">
        <v>4879524.97160511</v>
      </c>
      <c r="F83" s="320">
        <v>209055.22918536549</v>
      </c>
      <c r="G83" s="320">
        <v>5154876.2750210743</v>
      </c>
      <c r="H83" s="320">
        <v>12894.169767086356</v>
      </c>
      <c r="I83" s="320">
        <v>4702185.8300771713</v>
      </c>
      <c r="J83" s="320">
        <v>3898850.7897699862</v>
      </c>
      <c r="K83" s="320">
        <v>555418.00718163908</v>
      </c>
      <c r="L83" s="320">
        <v>1307893.5442654747</v>
      </c>
      <c r="M83" s="320">
        <v>378875.24728697492</v>
      </c>
      <c r="N83" s="320">
        <v>589034.2741270262</v>
      </c>
      <c r="O83" s="320">
        <v>8745.6102505996769</v>
      </c>
      <c r="P83" s="144">
        <f t="shared" si="41"/>
        <v>24065926.150293294</v>
      </c>
    </row>
    <row r="84" spans="3:16" ht="14" x14ac:dyDescent="0.15">
      <c r="C84" s="32" t="s">
        <v>124</v>
      </c>
      <c r="D84" s="320">
        <v>3218045.8141598995</v>
      </c>
      <c r="E84" s="320">
        <v>7216073.3695083205</v>
      </c>
      <c r="F84" s="320">
        <v>253346.68169746129</v>
      </c>
      <c r="G84" s="320">
        <v>5744216.3782581883</v>
      </c>
      <c r="H84" s="320">
        <v>26867.165716428259</v>
      </c>
      <c r="I84" s="320">
        <v>8043254.8223868459</v>
      </c>
      <c r="J84" s="320">
        <v>9863018.7807718869</v>
      </c>
      <c r="K84" s="320">
        <v>759748.52332150447</v>
      </c>
      <c r="L84" s="320">
        <v>1453318.6858325216</v>
      </c>
      <c r="M84" s="320">
        <v>342714.94170113513</v>
      </c>
      <c r="N84" s="320">
        <v>622761.88325008587</v>
      </c>
      <c r="O84" s="320">
        <v>13551.376443630983</v>
      </c>
      <c r="P84" s="144">
        <f t="shared" si="41"/>
        <v>37556918.423047915</v>
      </c>
    </row>
    <row r="85" spans="3:16" ht="14" x14ac:dyDescent="0.15">
      <c r="C85" s="94" t="s">
        <v>158</v>
      </c>
      <c r="D85" s="320">
        <v>2485598.8107579937</v>
      </c>
      <c r="E85" s="320">
        <v>15851511.776406366</v>
      </c>
      <c r="F85" s="320">
        <v>365037.18955780315</v>
      </c>
      <c r="G85" s="320">
        <v>7371500.4706396861</v>
      </c>
      <c r="H85" s="320">
        <v>16152.688020402522</v>
      </c>
      <c r="I85" s="320">
        <v>4398772.1366599649</v>
      </c>
      <c r="J85" s="320">
        <v>9710388.7621720247</v>
      </c>
      <c r="K85" s="320">
        <v>1425084.5096584379</v>
      </c>
      <c r="L85" s="320">
        <v>2312290.5213847561</v>
      </c>
      <c r="M85" s="320">
        <v>282246.29844542232</v>
      </c>
      <c r="N85" s="320">
        <v>969099.65196193545</v>
      </c>
      <c r="O85" s="320">
        <v>15008.497903085248</v>
      </c>
      <c r="P85" s="144">
        <f t="shared" si="41"/>
        <v>45202691.313567884</v>
      </c>
    </row>
    <row r="86" spans="3:16" ht="14" x14ac:dyDescent="0.15">
      <c r="C86" s="94" t="s">
        <v>170</v>
      </c>
      <c r="D86" s="267">
        <v>3240283.3283849838</v>
      </c>
      <c r="E86" s="267">
        <v>26806350.648468114</v>
      </c>
      <c r="F86" s="267">
        <v>282656.32190385414</v>
      </c>
      <c r="G86" s="267">
        <v>8393049.8084751815</v>
      </c>
      <c r="H86" s="267">
        <v>15829.07649656847</v>
      </c>
      <c r="I86" s="267">
        <v>5697099.6770414524</v>
      </c>
      <c r="J86" s="267">
        <v>11212294.099668976</v>
      </c>
      <c r="K86" s="267">
        <v>1702669.7063952731</v>
      </c>
      <c r="L86" s="267">
        <v>2122215.889732155</v>
      </c>
      <c r="M86" s="267">
        <v>597817.51074510557</v>
      </c>
      <c r="N86" s="267">
        <v>1481475.0944903705</v>
      </c>
      <c r="O86" s="267">
        <v>19013.412502899708</v>
      </c>
      <c r="P86" s="264">
        <f t="shared" si="41"/>
        <v>61570754.574304953</v>
      </c>
    </row>
  </sheetData>
  <mergeCells count="1">
    <mergeCell ref="C1:P1"/>
  </mergeCells>
  <pageMargins left="0.75" right="0.75" top="1" bottom="1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3"/>
  <sheetViews>
    <sheetView zoomScale="130" zoomScaleNormal="130" workbookViewId="0">
      <selection activeCell="A7" sqref="A7"/>
    </sheetView>
  </sheetViews>
  <sheetFormatPr baseColWidth="10" defaultColWidth="8.83203125" defaultRowHeight="13" x14ac:dyDescent="0.15"/>
  <cols>
    <col min="1" max="1" width="120.6640625" customWidth="1"/>
  </cols>
  <sheetData>
    <row r="3" spans="1:1" ht="228.75" customHeight="1" x14ac:dyDescent="0.15">
      <c r="A3" s="57" t="s">
        <v>194</v>
      </c>
    </row>
  </sheetData>
  <pageMargins left="0.75" right="0.7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K52"/>
  <sheetViews>
    <sheetView zoomScale="90" zoomScaleNormal="90" zoomScalePageLayoutView="90" workbookViewId="0">
      <selection activeCell="N20" sqref="N20"/>
    </sheetView>
  </sheetViews>
  <sheetFormatPr baseColWidth="10" defaultColWidth="11.5" defaultRowHeight="13" x14ac:dyDescent="0.15"/>
  <cols>
    <col min="1" max="1" width="7.1640625" customWidth="1"/>
    <col min="2" max="2" width="63.66406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62.33203125" customWidth="1"/>
    <col min="14" max="14" width="28" customWidth="1"/>
  </cols>
  <sheetData>
    <row r="1" spans="1:11" ht="52" customHeight="1" thickBot="1" x14ac:dyDescent="0.2">
      <c r="A1" s="7"/>
      <c r="B1" s="342" t="str">
        <f>CONCATENATE(data!$B$2, " Summary for ", Summary_data!X1)</f>
        <v>ASDC Summary for FY 2021</v>
      </c>
      <c r="C1" s="342"/>
      <c r="D1" s="342"/>
      <c r="E1" s="342"/>
      <c r="F1" s="342"/>
      <c r="G1" s="342"/>
      <c r="H1" s="342"/>
      <c r="I1" s="342"/>
      <c r="J1" s="342"/>
      <c r="K1" s="342"/>
    </row>
    <row r="2" spans="1:11" ht="25" customHeight="1" thickBot="1" x14ac:dyDescent="0.2">
      <c r="B2" s="351" t="str">
        <f>Summary_data!Z2</f>
        <v>FY2021 Metrics (Oct 2020 to Sep 2021)</v>
      </c>
      <c r="C2" s="352"/>
      <c r="D2" s="353"/>
      <c r="F2" s="356" t="str">
        <f>CONCATENATE(data!$B$2, " Distribution and User Trends ", Summary_data!W1)</f>
        <v>ASDC Distribution and User Trends (Oct 2020 to Sep 2021)</v>
      </c>
      <c r="G2" s="357"/>
      <c r="H2" s="357"/>
      <c r="I2" s="358"/>
      <c r="J2" s="358"/>
      <c r="K2" s="359"/>
    </row>
    <row r="3" spans="1:11" ht="18" customHeight="1" thickBot="1" x14ac:dyDescent="0.2">
      <c r="B3" s="40" t="s">
        <v>64</v>
      </c>
      <c r="C3" s="40" t="s">
        <v>63</v>
      </c>
      <c r="D3" s="40" t="str">
        <f>Summary_data!C4</f>
        <v>ASDC</v>
      </c>
      <c r="F3" s="332" t="s">
        <v>64</v>
      </c>
      <c r="G3" s="41" t="s">
        <v>11</v>
      </c>
      <c r="H3" s="42"/>
      <c r="I3" s="43" t="s">
        <v>25</v>
      </c>
      <c r="J3" s="43" t="s">
        <v>32</v>
      </c>
      <c r="K3" s="44" t="s">
        <v>26</v>
      </c>
    </row>
    <row r="4" spans="1:11" ht="18" customHeight="1" thickBot="1" x14ac:dyDescent="0.2">
      <c r="B4" s="324" t="s">
        <v>150</v>
      </c>
      <c r="C4" s="58">
        <f>Summary_data!AA13</f>
        <v>14300</v>
      </c>
      <c r="D4" s="60">
        <f>Summary_data!D4</f>
        <v>595</v>
      </c>
      <c r="F4" s="333"/>
      <c r="G4" s="45" t="str">
        <f>Summary_data!AE2</f>
        <v>FY2021</v>
      </c>
      <c r="H4" s="46"/>
      <c r="I4" s="47" t="str">
        <f>Summary_data!AF2</f>
        <v>FY2020</v>
      </c>
      <c r="J4" s="46" t="s">
        <v>27</v>
      </c>
      <c r="K4" s="48" t="s">
        <v>28</v>
      </c>
    </row>
    <row r="5" spans="1:11" ht="38" customHeight="1" thickBot="1" x14ac:dyDescent="0.2">
      <c r="B5" s="326" t="s">
        <v>195</v>
      </c>
      <c r="C5" s="58" t="str">
        <f>Summary_data!AA14</f>
        <v>4.73 M</v>
      </c>
      <c r="D5" s="61">
        <f>Summary_data!I4</f>
        <v>50102</v>
      </c>
      <c r="F5" s="339" t="s">
        <v>68</v>
      </c>
      <c r="G5" s="340">
        <f>data!$B$15</f>
        <v>24.043608999999996</v>
      </c>
      <c r="H5" s="354"/>
      <c r="I5" s="346">
        <f>(data!$B$15-data!$B17)/data!$B17</f>
        <v>4.8162827619966667E-2</v>
      </c>
      <c r="J5" s="355">
        <f>data!$B$16</f>
        <v>2.003634083333333</v>
      </c>
      <c r="K5" s="349"/>
    </row>
    <row r="6" spans="1:11" ht="18" customHeight="1" thickBot="1" x14ac:dyDescent="0.2">
      <c r="B6" s="326" t="s">
        <v>197</v>
      </c>
      <c r="C6" s="58" t="str">
        <f>Summary_data!AA15</f>
        <v>4.4 M</v>
      </c>
      <c r="D6" s="61">
        <f>Summary_data!K$4</f>
        <v>33355</v>
      </c>
      <c r="F6" s="338"/>
      <c r="G6" s="341"/>
      <c r="H6" s="334"/>
      <c r="I6" s="347"/>
      <c r="J6" s="350"/>
      <c r="K6" s="343"/>
    </row>
    <row r="7" spans="1:11" ht="18" customHeight="1" thickBot="1" x14ac:dyDescent="0.2">
      <c r="B7" s="326" t="s">
        <v>0</v>
      </c>
      <c r="C7" s="63" t="str">
        <f>Summary_data!AA16</f>
        <v>53.9 TB/day</v>
      </c>
      <c r="D7" s="63" t="str">
        <f>CONCATENATE(FIXED(1024*Summary_data!$N$4,1), " GB/day")</f>
        <v>2,791.9 GB/day</v>
      </c>
      <c r="F7" s="337" t="s">
        <v>62</v>
      </c>
      <c r="G7" s="335">
        <f>data!$B$67</f>
        <v>3164.3391878759608</v>
      </c>
      <c r="H7" s="334"/>
      <c r="I7" s="346">
        <f>(data!$B$67-data!$B$69)/data!$B$69</f>
        <v>0.30362281892018039</v>
      </c>
      <c r="J7" s="350">
        <f>data!$B$68</f>
        <v>263.69493232299675</v>
      </c>
      <c r="K7" s="343"/>
    </row>
    <row r="8" spans="1:11" ht="18" customHeight="1" thickBot="1" x14ac:dyDescent="0.2">
      <c r="B8" s="326" t="s">
        <v>200</v>
      </c>
      <c r="C8" s="63" t="str">
        <f>Summary_data!AA17</f>
        <v>59.24 PB</v>
      </c>
      <c r="D8" s="62" t="str">
        <f>CONCATENATE(FIXED(Summary_data!$O$4,1), " TB")</f>
        <v>6,517.7 TB</v>
      </c>
      <c r="F8" s="338"/>
      <c r="G8" s="336"/>
      <c r="H8" s="334"/>
      <c r="I8" s="347"/>
      <c r="J8" s="350"/>
      <c r="K8" s="343"/>
    </row>
    <row r="9" spans="1:11" ht="18" customHeight="1" thickBot="1" x14ac:dyDescent="0.2">
      <c r="B9" s="326" t="s">
        <v>202</v>
      </c>
      <c r="C9" s="58" t="str">
        <f>Summary_data!AA18</f>
        <v>15.77 PB</v>
      </c>
      <c r="D9" s="62"/>
      <c r="F9" s="337" t="s">
        <v>58</v>
      </c>
      <c r="G9" s="344">
        <f>data!$B$120</f>
        <v>5697</v>
      </c>
      <c r="H9" s="334"/>
      <c r="I9" s="346">
        <f>(data!$B$120-data!$B$121)/data!$B$121</f>
        <v>0.18366922917099521</v>
      </c>
      <c r="J9" s="348">
        <f>data!$B$119</f>
        <v>474.75</v>
      </c>
      <c r="K9" s="343"/>
    </row>
    <row r="10" spans="1:11" ht="18" customHeight="1" thickBot="1" x14ac:dyDescent="0.2">
      <c r="B10" s="326" t="s">
        <v>204</v>
      </c>
      <c r="C10" s="58" t="str">
        <f>Summary_data!AA19</f>
        <v>1,983.87 M</v>
      </c>
      <c r="D10" s="61" t="str">
        <f>CONCATENATE(FIXED(Summary_data!$R$4,1), " M")</f>
        <v>24.0 M</v>
      </c>
      <c r="F10" s="338"/>
      <c r="G10" s="345"/>
      <c r="H10" s="334"/>
      <c r="I10" s="347"/>
      <c r="J10" s="348"/>
      <c r="K10" s="343"/>
    </row>
    <row r="11" spans="1:11" ht="18" customHeight="1" thickBot="1" x14ac:dyDescent="0.2">
      <c r="B11" s="326" t="s">
        <v>206</v>
      </c>
      <c r="C11" s="58" t="str">
        <f>Summary_data!AA20</f>
        <v>19.87 M</v>
      </c>
      <c r="D11" s="104"/>
      <c r="E11" s="5"/>
      <c r="F11" s="337" t="s">
        <v>138</v>
      </c>
      <c r="G11" s="344">
        <f>data!$B$223</f>
        <v>46561</v>
      </c>
      <c r="H11" s="334"/>
      <c r="I11" s="347">
        <f>(data!$B$223-data!$B$224)/data!$B$224</f>
        <v>2.3768689533861038E-2</v>
      </c>
      <c r="J11" s="348">
        <f>data!$B$222</f>
        <v>4257.916666666667</v>
      </c>
      <c r="K11" s="343"/>
    </row>
    <row r="12" spans="1:11" ht="18" customHeight="1" thickBot="1" x14ac:dyDescent="0.2">
      <c r="B12" s="326" t="s">
        <v>208</v>
      </c>
      <c r="C12" s="58" t="str">
        <f>Summary_data!AA21</f>
        <v>171 TB/day</v>
      </c>
      <c r="D12" s="62" t="str">
        <f>CONCATENATE(FIXED(1024*Summary_data!$T$4,1), " GB/day")</f>
        <v>8,877.5 GB/day</v>
      </c>
      <c r="F12" s="361"/>
      <c r="G12" s="362"/>
      <c r="H12" s="363"/>
      <c r="I12" s="364"/>
      <c r="J12" s="365"/>
      <c r="K12" s="360"/>
    </row>
    <row r="13" spans="1:11" ht="18" customHeight="1" x14ac:dyDescent="0.15"/>
    <row r="14" spans="1:11" ht="25" customHeight="1" x14ac:dyDescent="0.15"/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52" ht="62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K9:K10"/>
    <mergeCell ref="F9:F10"/>
    <mergeCell ref="G9:G10"/>
    <mergeCell ref="H9:H10"/>
    <mergeCell ref="I9:I10"/>
    <mergeCell ref="J9:J10"/>
    <mergeCell ref="K5:K6"/>
    <mergeCell ref="K7:K8"/>
    <mergeCell ref="J7:J8"/>
    <mergeCell ref="I7:I8"/>
    <mergeCell ref="B2:D2"/>
    <mergeCell ref="I5:I6"/>
    <mergeCell ref="H5:H6"/>
    <mergeCell ref="J5:J6"/>
    <mergeCell ref="F2:K2"/>
    <mergeCell ref="F3:F4"/>
    <mergeCell ref="H7:H8"/>
    <mergeCell ref="G7:G8"/>
    <mergeCell ref="F7:F8"/>
    <mergeCell ref="F5:F6"/>
    <mergeCell ref="G5:G6"/>
  </mergeCells>
  <conditionalFormatting sqref="K5 K7">
    <cfRule type="dataBar" priority="1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{AA64AE06-5540-4AA0-8037-E45A2831123B}</x14:id>
        </ext>
      </extLst>
    </cfRule>
  </conditionalFormatting>
  <conditionalFormatting sqref="K9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{A25FFA54-EB01-40C9-A0D0-A8D7C498EDD2}</x14:id>
        </ext>
      </extLst>
    </cfRule>
  </conditionalFormatting>
  <conditionalFormatting sqref="K11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{D510F157-9A0C-C24A-88DB-6F63328216D5}</x14:id>
        </ext>
      </extLst>
    </cfRule>
  </conditionalFormatting>
  <conditionalFormatting sqref="I11">
    <cfRule type="iconSet" priority="9">
      <iconSet iconSet="3Arrows">
        <cfvo type="percent" val="0"/>
        <cfvo type="num" val="0"/>
        <cfvo type="num" val="0.0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160">
      <iconSet iconSet="3Arrows">
        <cfvo type="percent" val="0"/>
        <cfvo type="num" val="0"/>
        <cfvo type="num" val="0.01"/>
      </iconSet>
    </cfRule>
    <cfRule type="iconSet" priority="161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16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7">
      <iconSet>
        <cfvo type="percent" val="0"/>
        <cfvo type="percent" val="33"/>
        <cfvo type="percent" val="67"/>
      </iconSet>
    </cfRule>
    <cfRule type="iconSet" priority="168">
      <iconSet iconSet="4Arrows">
        <cfvo type="percent" val="0"/>
        <cfvo type="percent" val="25"/>
        <cfvo type="percent" val="50"/>
        <cfvo type="percentile" val="75"/>
      </iconSet>
    </cfRule>
    <cfRule type="iconSet" priority="16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0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18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A64AE06-5540-4AA0-8037-E45A2831123B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A25FFA54-EB01-40C9-A0D0-A8D7C498EDD2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D510F157-9A0C-C24A-88DB-6F63328216D5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200-00000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data!B209:B220</xm:f>
              <xm:sqref>K11</xm:sqref>
            </x14:sparkline>
          </x14:sparklines>
        </x14:sparklineGroup>
        <x14:sparklineGroup manualMax="0" manualMin="0" displayEmptyCellsAs="gap" high="1" xr2:uid="{00000000-0003-0000-0200-00000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data!B55:B66</xm:f>
              <xm:sqref>K7</xm:sqref>
            </x14:sparkline>
          </x14:sparklines>
        </x14:sparklineGroup>
        <x14:sparklineGroup manualMax="0" manualMin="0" displayEmptyCellsAs="gap" high="1" xr2:uid="{00000000-0003-0000-0200-00000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data!$B$3:$B$14</xm:f>
              <xm:sqref>K5</xm:sqref>
            </x14:sparkline>
          </x14:sparklines>
        </x14:sparklineGroup>
        <x14:sparklineGroup manualMax="0" manualMin="0" displayEmptyCellsAs="gap" high="1" xr2:uid="{00000000-0003-0000-02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data!B106:B117</xm:f>
              <xm:sqref>K9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K52"/>
  <sheetViews>
    <sheetView zoomScale="90" zoomScaleNormal="90" zoomScalePageLayoutView="90" workbookViewId="0">
      <selection activeCell="D11" sqref="D11"/>
    </sheetView>
  </sheetViews>
  <sheetFormatPr baseColWidth="10" defaultColWidth="11.5" defaultRowHeight="13" x14ac:dyDescent="0.15"/>
  <cols>
    <col min="1" max="1" width="7.1640625" customWidth="1"/>
    <col min="2" max="2" width="63.83203125" customWidth="1"/>
    <col min="3" max="3" width="20.83203125" customWidth="1"/>
    <col min="4" max="4" width="20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42" t="str">
        <f>CONCATENATE("ASF Summary for ", Summary_data!X1)</f>
        <v>ASF Summary for FY 2021</v>
      </c>
      <c r="C1" s="342"/>
      <c r="D1" s="342"/>
      <c r="E1" s="342"/>
      <c r="F1" s="342"/>
      <c r="G1" s="342"/>
      <c r="H1" s="342"/>
      <c r="I1" s="342"/>
      <c r="J1" s="342"/>
      <c r="K1" s="342"/>
    </row>
    <row r="2" spans="1:11" ht="25" customHeight="1" thickBot="1" x14ac:dyDescent="0.2">
      <c r="B2" s="356" t="str">
        <f>Summary_data!Z2</f>
        <v>FY2021 Metrics (Oct 2020 to Sep 2021)</v>
      </c>
      <c r="C2" s="357"/>
      <c r="D2" s="366"/>
      <c r="F2" s="356" t="str">
        <f>CONCATENATE(data!$C$2, " Distribution and User Trends ", Summary_data!W1)</f>
        <v>ASF Distribution and User Trends (Oct 2020 to Sep 2021)</v>
      </c>
      <c r="G2" s="357"/>
      <c r="H2" s="357"/>
      <c r="I2" s="358"/>
      <c r="J2" s="358"/>
      <c r="K2" s="359"/>
    </row>
    <row r="3" spans="1:11" ht="18" customHeight="1" thickBot="1" x14ac:dyDescent="0.2">
      <c r="B3" s="40" t="s">
        <v>64</v>
      </c>
      <c r="C3" s="40" t="s">
        <v>63</v>
      </c>
      <c r="D3" s="40" t="str">
        <f>Summary_data!C5</f>
        <v>ASF</v>
      </c>
      <c r="F3" s="332" t="s">
        <v>64</v>
      </c>
      <c r="G3" s="41" t="s">
        <v>11</v>
      </c>
      <c r="H3" s="42"/>
      <c r="I3" s="43" t="s">
        <v>25</v>
      </c>
      <c r="J3" s="43" t="s">
        <v>32</v>
      </c>
      <c r="K3" s="44" t="s">
        <v>26</v>
      </c>
    </row>
    <row r="4" spans="1:11" ht="18" customHeight="1" thickBot="1" x14ac:dyDescent="0.2">
      <c r="B4" s="324" t="s">
        <v>150</v>
      </c>
      <c r="C4" s="58">
        <f>Summary_data!AA13</f>
        <v>14300</v>
      </c>
      <c r="D4" s="60">
        <f>Summary_data!D5</f>
        <v>173</v>
      </c>
      <c r="F4" s="333"/>
      <c r="G4" s="45" t="str">
        <f>Summary_data!AE2</f>
        <v>FY2021</v>
      </c>
      <c r="H4" s="46"/>
      <c r="I4" s="47" t="str">
        <f>Summary_data!AF2</f>
        <v>FY2020</v>
      </c>
      <c r="J4" s="46" t="s">
        <v>27</v>
      </c>
      <c r="K4" s="48" t="s">
        <v>28</v>
      </c>
    </row>
    <row r="5" spans="1:11" ht="23" customHeight="1" thickBot="1" x14ac:dyDescent="0.2">
      <c r="B5" s="326" t="s">
        <v>195</v>
      </c>
      <c r="C5" s="58" t="str">
        <f>Summary_data!AA14</f>
        <v>4.73 M</v>
      </c>
      <c r="D5" s="61">
        <f>Summary_data!I5</f>
        <v>1068311</v>
      </c>
      <c r="F5" s="339" t="s">
        <v>68</v>
      </c>
      <c r="G5" s="340">
        <f>data!$C$15</f>
        <v>34.563133000000001</v>
      </c>
      <c r="H5" s="354"/>
      <c r="I5" s="346">
        <f>(data!$C$15-data!$C$17)/data!$C$17</f>
        <v>-0.13108933696134345</v>
      </c>
      <c r="J5" s="367">
        <f>data!$C$16</f>
        <v>2.8802610833333335</v>
      </c>
      <c r="K5" s="349"/>
    </row>
    <row r="6" spans="1:11" ht="18" customHeight="1" thickBot="1" x14ac:dyDescent="0.2">
      <c r="B6" s="326" t="s">
        <v>197</v>
      </c>
      <c r="C6" s="58" t="str">
        <f>Summary_data!AA15</f>
        <v>4.4 M</v>
      </c>
      <c r="D6" s="61">
        <f>Summary_data!K$5</f>
        <v>480179</v>
      </c>
      <c r="F6" s="338"/>
      <c r="G6" s="341"/>
      <c r="H6" s="334"/>
      <c r="I6" s="347"/>
      <c r="J6" s="368"/>
      <c r="K6" s="343"/>
    </row>
    <row r="7" spans="1:11" ht="18" customHeight="1" thickBot="1" x14ac:dyDescent="0.2">
      <c r="B7" s="326" t="s">
        <v>0</v>
      </c>
      <c r="C7" s="63" t="str">
        <f>Summary_data!AA16</f>
        <v>53.9 TB/day</v>
      </c>
      <c r="D7" s="61" t="str">
        <f>CONCATENATE(FIXED(Summary_data!$N$5,1), " TB/day")</f>
        <v>15.1 TB/day</v>
      </c>
      <c r="F7" s="337" t="s">
        <v>62</v>
      </c>
      <c r="G7" s="335">
        <f>data!$C$67</f>
        <v>26178.076805144643</v>
      </c>
      <c r="H7" s="334"/>
      <c r="I7" s="346">
        <f>(data!$C$67-data!$C$69)/data!$C$69</f>
        <v>0.69109111020988534</v>
      </c>
      <c r="J7" s="368">
        <f>data!$C$68</f>
        <v>2181.5064004287201</v>
      </c>
      <c r="K7" s="343"/>
    </row>
    <row r="8" spans="1:11" ht="18" customHeight="1" thickBot="1" x14ac:dyDescent="0.2">
      <c r="B8" s="326" t="s">
        <v>200</v>
      </c>
      <c r="C8" s="63" t="str">
        <f>Summary_data!AA17</f>
        <v>59.24 PB</v>
      </c>
      <c r="D8" s="61" t="str">
        <f>CONCATENATE(FIXED(Summary_data!$O$5,1), " TB")</f>
        <v>17,521.4 TB</v>
      </c>
      <c r="F8" s="338"/>
      <c r="G8" s="336"/>
      <c r="H8" s="334"/>
      <c r="I8" s="347"/>
      <c r="J8" s="368"/>
      <c r="K8" s="343"/>
    </row>
    <row r="9" spans="1:11" ht="18" customHeight="1" thickBot="1" x14ac:dyDescent="0.2">
      <c r="B9" s="326" t="s">
        <v>202</v>
      </c>
      <c r="C9" s="58" t="str">
        <f>Summary_data!AA18</f>
        <v>15.77 PB</v>
      </c>
      <c r="D9" s="61" t="str">
        <f>CONCATENATE(FIXED(Summary_data!$U$5,1), " TB")</f>
        <v>14,399.4 TB</v>
      </c>
      <c r="F9" s="337" t="s">
        <v>58</v>
      </c>
      <c r="G9" s="344">
        <f>data!$C$120</f>
        <v>918176</v>
      </c>
      <c r="H9" s="334"/>
      <c r="I9" s="346">
        <f>(data!$C$120-data!$C$121)/data!$C$121</f>
        <v>2.4764118796286478</v>
      </c>
      <c r="J9" s="369">
        <f>data!$C$119</f>
        <v>76514.666666666672</v>
      </c>
      <c r="K9" s="343"/>
    </row>
    <row r="10" spans="1:11" ht="18" customHeight="1" thickBot="1" x14ac:dyDescent="0.2">
      <c r="B10" s="326" t="s">
        <v>204</v>
      </c>
      <c r="C10" s="58" t="str">
        <f>Summary_data!AA19</f>
        <v>1,983.87 M</v>
      </c>
      <c r="D10" s="61" t="str">
        <f>CONCATENATE(FIXED(Summary_data!$R$5,1), " M")</f>
        <v>34.6 M</v>
      </c>
      <c r="F10" s="338"/>
      <c r="G10" s="345"/>
      <c r="H10" s="334"/>
      <c r="I10" s="347"/>
      <c r="J10" s="369"/>
      <c r="K10" s="343"/>
    </row>
    <row r="11" spans="1:11" ht="18" customHeight="1" thickBot="1" x14ac:dyDescent="0.2">
      <c r="B11" s="326" t="s">
        <v>206</v>
      </c>
      <c r="C11" s="58" t="str">
        <f>Summary_data!AA20</f>
        <v>19.87 M</v>
      </c>
      <c r="D11" s="61" t="str">
        <f>CONCATENATE(FIXED(Summary_data!$V$5,1), " M")</f>
        <v>12.6 M</v>
      </c>
      <c r="E11" s="5"/>
      <c r="F11" s="337" t="s">
        <v>138</v>
      </c>
      <c r="G11" s="344">
        <f>data!$C$223</f>
        <v>264171</v>
      </c>
      <c r="H11" s="334"/>
      <c r="I11" s="347">
        <f>(data!$C$223-data!$C$224)/data!$C$224</f>
        <v>1.5873244402656168</v>
      </c>
      <c r="J11" s="369">
        <f>data!$C$222</f>
        <v>27268.166666666668</v>
      </c>
      <c r="K11" s="343"/>
    </row>
    <row r="12" spans="1:11" ht="18" customHeight="1" thickBot="1" x14ac:dyDescent="0.2">
      <c r="B12" s="326" t="s">
        <v>208</v>
      </c>
      <c r="C12" s="58" t="str">
        <f>Summary_data!AA21</f>
        <v>171 TB/day</v>
      </c>
      <c r="D12" s="61" t="str">
        <f>CONCATENATE(FIXED(Summary_data!$T$5,1), " GB/day")</f>
        <v>71.7 GB/day</v>
      </c>
      <c r="F12" s="361"/>
      <c r="G12" s="362"/>
      <c r="H12" s="363"/>
      <c r="I12" s="364"/>
      <c r="J12" s="370"/>
      <c r="K12" s="360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  <row r="52" ht="47" customHeight="1" x14ac:dyDescent="0.15"/>
  </sheetData>
  <dataConsolidate/>
  <mergeCells count="28">
    <mergeCell ref="K9:K10"/>
    <mergeCell ref="F9:F10"/>
    <mergeCell ref="G9:G10"/>
    <mergeCell ref="H9:H10"/>
    <mergeCell ref="I9:I10"/>
    <mergeCell ref="J9:J10"/>
    <mergeCell ref="K11:K12"/>
    <mergeCell ref="F11:F12"/>
    <mergeCell ref="G11:G12"/>
    <mergeCell ref="H11:H12"/>
    <mergeCell ref="I11:I12"/>
    <mergeCell ref="J11:J12"/>
    <mergeCell ref="B1:K1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{20F6E961-3492-46A5-B5F4-0B2942E81789}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{5DCEE76B-13BD-4759-88D6-68FCEA27BE4A}</x14:id>
        </ext>
      </extLs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{7140583E-CE41-8D4D-AAA6-C9566B8F3727}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182">
      <iconSet iconSet="3Arrows">
        <cfvo type="percent" val="0"/>
        <cfvo type="num" val="0"/>
        <cfvo type="num" val="0.01"/>
      </iconSet>
    </cfRule>
    <cfRule type="iconSet" priority="183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188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89">
      <iconSet>
        <cfvo type="percent" val="0"/>
        <cfvo type="percent" val="33"/>
        <cfvo type="percent" val="67"/>
      </iconSet>
    </cfRule>
    <cfRule type="iconSet" priority="190">
      <iconSet iconSet="4Arrows">
        <cfvo type="percent" val="0"/>
        <cfvo type="percent" val="25"/>
        <cfvo type="percent" val="50"/>
        <cfvo type="percentile" val="75"/>
      </iconSet>
    </cfRule>
    <cfRule type="iconSet" priority="19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92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203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0F6E961-3492-46A5-B5F4-0B2942E81789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5DCEE76B-13BD-4759-88D6-68FCEA27BE4A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7140583E-CE41-8D4D-AAA6-C9566B8F3727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300-00000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data!C106:C117</xm:f>
              <xm:sqref>K9</xm:sqref>
            </x14:sparkline>
          </x14:sparklines>
        </x14:sparklineGroup>
        <x14:sparklineGroup manualMax="0" manualMin="0" displayEmptyCellsAs="gap" high="1" xr2:uid="{00000000-0003-0000-0300-00000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data!C3:C14</xm:f>
              <xm:sqref>K5</xm:sqref>
            </x14:sparkline>
          </x14:sparklines>
        </x14:sparklineGroup>
        <x14:sparklineGroup manualMax="0" manualMin="0" displayEmptyCellsAs="gap" high="1" xr2:uid="{00000000-0003-0000-0300-00000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data!C55:C66</xm:f>
              <xm:sqref>K7</xm:sqref>
            </x14:sparkline>
          </x14:sparklines>
        </x14:sparklineGroup>
        <x14:sparklineGroup manualMax="0" manualMin="0" displayEmptyCellsAs="gap" high="1" xr2:uid="{00000000-0003-0000-0300-00000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data!C209:C220</xm:f>
              <xm:sqref>K11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K37"/>
  <sheetViews>
    <sheetView zoomScale="110" zoomScaleNormal="110" zoomScalePageLayoutView="90" workbookViewId="0">
      <selection activeCell="D10" sqref="D10"/>
    </sheetView>
  </sheetViews>
  <sheetFormatPr baseColWidth="10" defaultColWidth="11.5" defaultRowHeight="13" x14ac:dyDescent="0.15"/>
  <cols>
    <col min="1" max="1" width="7.1640625" customWidth="1"/>
    <col min="2" max="2" width="62.16406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42" t="str">
        <f>CONCATENATE("CDDIS Summary for ", Summary_data!X1)</f>
        <v>CDDIS Summary for FY 2021</v>
      </c>
      <c r="C1" s="342"/>
      <c r="D1" s="342"/>
      <c r="E1" s="342"/>
      <c r="F1" s="342"/>
      <c r="G1" s="342"/>
      <c r="H1" s="342"/>
      <c r="I1" s="342"/>
      <c r="J1" s="342"/>
      <c r="K1" s="342"/>
    </row>
    <row r="2" spans="1:11" ht="25" customHeight="1" thickBot="1" x14ac:dyDescent="0.2">
      <c r="B2" s="351" t="str">
        <f>Summary_data!Z2</f>
        <v>FY2021 Metrics (Oct 2020 to Sep 2021)</v>
      </c>
      <c r="C2" s="352"/>
      <c r="D2" s="353"/>
      <c r="F2" s="356" t="str">
        <f>CONCATENATE(data!$D$2, " Distribution and User Trends ", Summary_data!W1)</f>
        <v>CDDIS Distribution and User Trends (Oct 2020 to Sep 2021)</v>
      </c>
      <c r="G2" s="357"/>
      <c r="H2" s="357"/>
      <c r="I2" s="358"/>
      <c r="J2" s="358"/>
      <c r="K2" s="359"/>
    </row>
    <row r="3" spans="1:11" ht="18" customHeight="1" thickBot="1" x14ac:dyDescent="0.2">
      <c r="B3" s="40" t="s">
        <v>64</v>
      </c>
      <c r="C3" s="40" t="s">
        <v>63</v>
      </c>
      <c r="D3" s="40" t="str">
        <f>Summary_data!C6</f>
        <v>CDDIS</v>
      </c>
      <c r="F3" s="332" t="s">
        <v>64</v>
      </c>
      <c r="G3" s="41" t="s">
        <v>11</v>
      </c>
      <c r="H3" s="42"/>
      <c r="I3" s="43" t="s">
        <v>25</v>
      </c>
      <c r="J3" s="43" t="s">
        <v>32</v>
      </c>
      <c r="K3" s="44" t="s">
        <v>26</v>
      </c>
    </row>
    <row r="4" spans="1:11" ht="16" customHeight="1" thickBot="1" x14ac:dyDescent="0.2">
      <c r="B4" s="324" t="s">
        <v>150</v>
      </c>
      <c r="C4" s="58">
        <f>Summary_data!AA13</f>
        <v>14300</v>
      </c>
      <c r="D4" s="60">
        <f>Summary_data!D$6</f>
        <v>214</v>
      </c>
      <c r="F4" s="333"/>
      <c r="G4" s="45" t="str">
        <f>Summary_data!AE2</f>
        <v>FY2021</v>
      </c>
      <c r="H4" s="46"/>
      <c r="I4" s="47" t="str">
        <f>Summary_data!AF2</f>
        <v>FY2020</v>
      </c>
      <c r="J4" s="46" t="s">
        <v>27</v>
      </c>
      <c r="K4" s="48" t="s">
        <v>28</v>
      </c>
    </row>
    <row r="5" spans="1:11" ht="21" customHeight="1" thickBot="1" x14ac:dyDescent="0.2">
      <c r="B5" s="326" t="s">
        <v>195</v>
      </c>
      <c r="C5" s="58" t="str">
        <f>Summary_data!AA14</f>
        <v>4.73 M</v>
      </c>
      <c r="D5" s="61">
        <f>Summary_data!I$6</f>
        <v>387057</v>
      </c>
      <c r="F5" s="339" t="s">
        <v>68</v>
      </c>
      <c r="G5" s="374">
        <f>data!$D$15</f>
        <v>247.00965499999998</v>
      </c>
      <c r="H5" s="354"/>
      <c r="I5" s="346">
        <f>(data!$D$15-data!$D$17)/data!$D$17</f>
        <v>-0.33917139210879765</v>
      </c>
      <c r="J5" s="355">
        <f>data!$D$16</f>
        <v>20.584137916666666</v>
      </c>
      <c r="K5" s="349"/>
    </row>
    <row r="6" spans="1:11" ht="18" customHeight="1" thickBot="1" x14ac:dyDescent="0.2">
      <c r="B6" s="326" t="s">
        <v>197</v>
      </c>
      <c r="C6" s="58" t="str">
        <f>Summary_data!AA15</f>
        <v>4.4 M</v>
      </c>
      <c r="D6" s="61">
        <f>Summary_data!K$6</f>
        <v>97015</v>
      </c>
      <c r="F6" s="338"/>
      <c r="G6" s="375"/>
      <c r="H6" s="334"/>
      <c r="I6" s="347"/>
      <c r="J6" s="350"/>
      <c r="K6" s="343"/>
    </row>
    <row r="7" spans="1:11" ht="18" customHeight="1" thickBot="1" x14ac:dyDescent="0.2">
      <c r="B7" s="326" t="s">
        <v>0</v>
      </c>
      <c r="C7" s="63" t="str">
        <f>Summary_data!AA16</f>
        <v>53.9 TB/day</v>
      </c>
      <c r="D7" s="59" t="str">
        <f>CONCATENATE(FIXED(1024*Summary_data!$N$6,2), " GB/day")</f>
        <v>32.82 GB/day</v>
      </c>
      <c r="F7" s="337" t="s">
        <v>62</v>
      </c>
      <c r="G7" s="371">
        <f>data!$D$67</f>
        <v>276.03156435923256</v>
      </c>
      <c r="H7" s="334"/>
      <c r="I7" s="346">
        <f>(data!$D$67-data!$D$69)/data!$D$69</f>
        <v>-0.2256780131190006</v>
      </c>
      <c r="J7" s="350">
        <f>data!$D$68</f>
        <v>23.002630363269379</v>
      </c>
      <c r="K7" s="343"/>
    </row>
    <row r="8" spans="1:11" ht="18" customHeight="1" thickBot="1" x14ac:dyDescent="0.2">
      <c r="B8" s="326" t="s">
        <v>200</v>
      </c>
      <c r="C8" s="63" t="str">
        <f>Summary_data!AA17</f>
        <v>59.24 PB</v>
      </c>
      <c r="D8" s="62" t="str">
        <f>CONCATENATE(FIXED(Summary_data!$O$6,1), " TB")</f>
        <v>51.2 TB</v>
      </c>
      <c r="F8" s="338"/>
      <c r="G8" s="372"/>
      <c r="H8" s="334"/>
      <c r="I8" s="347"/>
      <c r="J8" s="350"/>
      <c r="K8" s="343"/>
    </row>
    <row r="9" spans="1:11" ht="18" customHeight="1" thickBot="1" x14ac:dyDescent="0.2">
      <c r="B9" s="326" t="s">
        <v>202</v>
      </c>
      <c r="C9" s="58" t="str">
        <f>Summary_data!AA18</f>
        <v>15.77 PB</v>
      </c>
      <c r="D9" s="61"/>
      <c r="F9" s="337" t="s">
        <v>58</v>
      </c>
      <c r="G9" s="344">
        <f>data!$D$120</f>
        <v>380380</v>
      </c>
      <c r="H9" s="334"/>
      <c r="I9" s="346">
        <f>(data!$D$120-data!$D$121)/data!$D$121</f>
        <v>-0.45759724620590431</v>
      </c>
      <c r="J9" s="348">
        <f>data!$D$119</f>
        <v>31698.333333333332</v>
      </c>
      <c r="K9" s="343"/>
    </row>
    <row r="10" spans="1:11" ht="18" customHeight="1" thickBot="1" x14ac:dyDescent="0.2">
      <c r="B10" s="326" t="s">
        <v>204</v>
      </c>
      <c r="C10" s="58" t="str">
        <f>Summary_data!AA19</f>
        <v>1,983.87 M</v>
      </c>
      <c r="D10" s="61" t="str">
        <f>CONCATENATE(FIXED(Summary_data!$R$6,1), " M")</f>
        <v>247.0 M</v>
      </c>
      <c r="F10" s="338"/>
      <c r="G10" s="373"/>
      <c r="H10" s="334"/>
      <c r="I10" s="347"/>
      <c r="J10" s="348"/>
      <c r="K10" s="343"/>
    </row>
    <row r="11" spans="1:11" ht="18" customHeight="1" thickBot="1" x14ac:dyDescent="0.2">
      <c r="B11" s="326" t="s">
        <v>206</v>
      </c>
      <c r="C11" s="58" t="str">
        <f>Summary_data!AA20</f>
        <v>19.87 M</v>
      </c>
      <c r="D11" s="61"/>
      <c r="E11" s="5"/>
      <c r="F11" s="337" t="s">
        <v>138</v>
      </c>
      <c r="G11" s="344">
        <f>data!$D$223</f>
        <v>57182</v>
      </c>
      <c r="H11" s="334"/>
      <c r="I11" s="347">
        <f>(data!$D$223-data!$D$224)/data!$D$224</f>
        <v>1.3250386273074735</v>
      </c>
      <c r="J11" s="348">
        <f>data!$D$222</f>
        <v>6583.166666666667</v>
      </c>
      <c r="K11" s="343"/>
    </row>
    <row r="12" spans="1:11" ht="18" customHeight="1" thickBot="1" x14ac:dyDescent="0.2">
      <c r="B12" s="326" t="s">
        <v>208</v>
      </c>
      <c r="C12" s="58" t="str">
        <f>Summary_data!AA21</f>
        <v>171 TB/day</v>
      </c>
      <c r="D12" s="61" t="str">
        <f>CONCATENATE(FIXED(1024*Summary_data!$T$6,1), " GB/day")</f>
        <v>774.4 GB/day</v>
      </c>
      <c r="F12" s="361"/>
      <c r="G12" s="376"/>
      <c r="H12" s="363"/>
      <c r="I12" s="364"/>
      <c r="J12" s="365"/>
      <c r="K12" s="360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F9:F10"/>
    <mergeCell ref="G9:G10"/>
    <mergeCell ref="H9:H10"/>
    <mergeCell ref="I9:I10"/>
    <mergeCell ref="J9:J10"/>
    <mergeCell ref="K9:K10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{B3E61D38-AF46-3942-98B4-4A05060E3E1C}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{A35396C3-EFD6-8845-BA57-3F3E0E389052}</x14:id>
        </ext>
      </extLs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{CCE96D12-D5B7-2149-9FAA-578B2CBB4708}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204">
      <iconSet iconSet="3Arrows">
        <cfvo type="percent" val="0"/>
        <cfvo type="num" val="0"/>
        <cfvo type="num" val="0.01"/>
      </iconSet>
    </cfRule>
    <cfRule type="iconSet" priority="205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21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1">
      <iconSet>
        <cfvo type="percent" val="0"/>
        <cfvo type="percent" val="33"/>
        <cfvo type="percent" val="67"/>
      </iconSet>
    </cfRule>
    <cfRule type="iconSet" priority="212">
      <iconSet iconSet="4Arrows">
        <cfvo type="percent" val="0"/>
        <cfvo type="percent" val="25"/>
        <cfvo type="percent" val="50"/>
        <cfvo type="percentile" val="75"/>
      </iconSet>
    </cfRule>
    <cfRule type="iconSet" priority="21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4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225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E61D38-AF46-3942-98B4-4A05060E3E1C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A35396C3-EFD6-8845-BA57-3F3E0E389052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CCE96D12-D5B7-2149-9FAA-578B2CBB4708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400-00000D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data!D55:D66</xm:f>
              <xm:sqref>K7</xm:sqref>
            </x14:sparkline>
          </x14:sparklines>
        </x14:sparklineGroup>
        <x14:sparklineGroup manualMax="0" manualMin="0" displayEmptyCellsAs="gap" high="1" xr2:uid="{00000000-0003-0000-0400-00000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data!D3:D14</xm:f>
              <xm:sqref>K5</xm:sqref>
            </x14:sparkline>
          </x14:sparklines>
        </x14:sparklineGroup>
        <x14:sparklineGroup manualMax="0" manualMin="0" displayEmptyCellsAs="gap" high="1" xr2:uid="{00000000-0003-0000-0400-00000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data!D106:D117</xm:f>
              <xm:sqref>K9</xm:sqref>
            </x14:sparkline>
          </x14:sparklines>
        </x14:sparklineGroup>
        <x14:sparklineGroup manualMax="0" manualMin="0" displayEmptyCellsAs="gap" high="1" xr2:uid="{00000000-0003-0000-0400-00000E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data!D209:D220</xm:f>
              <xm:sqref>K11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37"/>
  <sheetViews>
    <sheetView zoomScale="90" zoomScaleNormal="90" zoomScalePageLayoutView="90" workbookViewId="0">
      <selection activeCell="D11" sqref="D11"/>
    </sheetView>
  </sheetViews>
  <sheetFormatPr baseColWidth="10" defaultColWidth="11.5" defaultRowHeight="13" x14ac:dyDescent="0.15"/>
  <cols>
    <col min="1" max="1" width="7.1640625" customWidth="1"/>
    <col min="2" max="2" width="63.83203125" customWidth="1"/>
    <col min="3" max="3" width="20.6640625" customWidth="1"/>
    <col min="4" max="4" width="20.332031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42" t="str">
        <f>CONCATENATE("GESDISC Summary for ", Summary_data!X1)</f>
        <v>GESDISC Summary for FY 2021</v>
      </c>
      <c r="C1" s="342"/>
      <c r="D1" s="342"/>
      <c r="E1" s="342"/>
      <c r="F1" s="342"/>
      <c r="G1" s="342"/>
      <c r="H1" s="342"/>
      <c r="I1" s="342"/>
      <c r="J1" s="342"/>
      <c r="K1" s="342"/>
    </row>
    <row r="2" spans="1:11" ht="25" customHeight="1" thickBot="1" x14ac:dyDescent="0.2">
      <c r="B2" s="351" t="str">
        <f>Summary_data!Z2</f>
        <v>FY2021 Metrics (Oct 2020 to Sep 2021)</v>
      </c>
      <c r="C2" s="352"/>
      <c r="D2" s="353"/>
      <c r="F2" s="356" t="str">
        <f>CONCATENATE(data!$E$2, " Distribution and User Trends ", Summary_data!W1)</f>
        <v>GESDISC Distribution and User Trends (Oct 2020 to Sep 2021)</v>
      </c>
      <c r="G2" s="357"/>
      <c r="H2" s="357"/>
      <c r="I2" s="358"/>
      <c r="J2" s="358"/>
      <c r="K2" s="359"/>
    </row>
    <row r="3" spans="1:11" ht="18" customHeight="1" thickBot="1" x14ac:dyDescent="0.2">
      <c r="B3" s="40" t="s">
        <v>64</v>
      </c>
      <c r="C3" s="40" t="s">
        <v>63</v>
      </c>
      <c r="D3" s="40" t="str">
        <f>Summary_data!$C$7</f>
        <v>GESDISC</v>
      </c>
      <c r="F3" s="332" t="s">
        <v>64</v>
      </c>
      <c r="G3" s="41" t="s">
        <v>11</v>
      </c>
      <c r="H3" s="42"/>
      <c r="I3" s="43" t="s">
        <v>25</v>
      </c>
      <c r="J3" s="43" t="s">
        <v>32</v>
      </c>
      <c r="K3" s="44" t="s">
        <v>26</v>
      </c>
    </row>
    <row r="4" spans="1:11" ht="20" customHeight="1" thickBot="1" x14ac:dyDescent="0.2">
      <c r="B4" s="324" t="s">
        <v>150</v>
      </c>
      <c r="C4" s="58">
        <f>Summary_data!AA13</f>
        <v>14300</v>
      </c>
      <c r="D4" s="60">
        <f>Summary_data!$D$7</f>
        <v>2671</v>
      </c>
      <c r="F4" s="333"/>
      <c r="G4" s="45" t="str">
        <f>Summary_data!AE2</f>
        <v>FY2021</v>
      </c>
      <c r="H4" s="46"/>
      <c r="I4" s="47" t="str">
        <f>Summary_data!AF2</f>
        <v>FY2020</v>
      </c>
      <c r="J4" s="46" t="s">
        <v>27</v>
      </c>
      <c r="K4" s="48" t="s">
        <v>28</v>
      </c>
    </row>
    <row r="5" spans="1:11" ht="22" customHeight="1" thickBot="1" x14ac:dyDescent="0.2">
      <c r="B5" s="326" t="s">
        <v>195</v>
      </c>
      <c r="C5" s="58" t="str">
        <f>Summary_data!AA14</f>
        <v>4.73 M</v>
      </c>
      <c r="D5" s="61">
        <f>Summary_data!I$7</f>
        <v>260540</v>
      </c>
      <c r="F5" s="339" t="s">
        <v>68</v>
      </c>
      <c r="G5" s="374">
        <f>data!$E$15</f>
        <v>479.78938099999993</v>
      </c>
      <c r="H5" s="354"/>
      <c r="I5" s="346">
        <f>(data!$E$15-data!$E$17)/data!$E$17</f>
        <v>0.11855231647683361</v>
      </c>
      <c r="J5" s="355">
        <f>data!$E$16</f>
        <v>39.982448416666664</v>
      </c>
      <c r="K5" s="349"/>
    </row>
    <row r="6" spans="1:11" ht="18" customHeight="1" thickBot="1" x14ac:dyDescent="0.2">
      <c r="B6" s="326" t="s">
        <v>197</v>
      </c>
      <c r="C6" s="58" t="str">
        <f>Summary_data!AA15</f>
        <v>4.4 M</v>
      </c>
      <c r="D6" s="61">
        <f>Summary_data!K$7</f>
        <v>274957</v>
      </c>
      <c r="F6" s="338"/>
      <c r="G6" s="375"/>
      <c r="H6" s="334"/>
      <c r="I6" s="347"/>
      <c r="J6" s="350"/>
      <c r="K6" s="343"/>
    </row>
    <row r="7" spans="1:11" ht="18" customHeight="1" thickBot="1" x14ac:dyDescent="0.2">
      <c r="B7" s="326" t="s">
        <v>0</v>
      </c>
      <c r="C7" s="63" t="str">
        <f>Summary_data!AA16</f>
        <v>53.9 TB/day</v>
      </c>
      <c r="D7" s="59" t="str">
        <f>CONCATENATE(FIXED(1024*Summary_data!$N$7,1), " GB/day")</f>
        <v>3,483.9 GB/day</v>
      </c>
      <c r="F7" s="337" t="s">
        <v>62</v>
      </c>
      <c r="G7" s="371">
        <f>data!$E$67</f>
        <v>8196.3377035890444</v>
      </c>
      <c r="H7" s="334"/>
      <c r="I7" s="346">
        <f>(data!$E$67-data!$E$69)/data!$E$69</f>
        <v>0.13858092282626513</v>
      </c>
      <c r="J7" s="350">
        <f>data!$E$68</f>
        <v>683.02814196575366</v>
      </c>
      <c r="K7" s="343"/>
    </row>
    <row r="8" spans="1:11" ht="18" customHeight="1" thickBot="1" x14ac:dyDescent="0.2">
      <c r="B8" s="326" t="s">
        <v>200</v>
      </c>
      <c r="C8" s="63" t="str">
        <f>Summary_data!AA17</f>
        <v>59.24 PB</v>
      </c>
      <c r="D8" s="62" t="str">
        <f>CONCATENATE(FIXED(Summary_data!$O$7,1), " TB")</f>
        <v>4,080.5 TB</v>
      </c>
      <c r="F8" s="338"/>
      <c r="G8" s="372"/>
      <c r="H8" s="334"/>
      <c r="I8" s="347"/>
      <c r="J8" s="350"/>
      <c r="K8" s="343"/>
    </row>
    <row r="9" spans="1:11" ht="18" customHeight="1" thickBot="1" x14ac:dyDescent="0.2">
      <c r="B9" s="326" t="s">
        <v>202</v>
      </c>
      <c r="C9" s="58" t="str">
        <f>Summary_data!AA18</f>
        <v>15.77 PB</v>
      </c>
      <c r="D9" s="62" t="str">
        <f>CONCATENATE(FIXED(Summary_data!$U$7,1), " TB")</f>
        <v>9.3 TB</v>
      </c>
      <c r="F9" s="337" t="s">
        <v>58</v>
      </c>
      <c r="G9" s="344">
        <f>data!$E$120</f>
        <v>167872</v>
      </c>
      <c r="H9" s="334"/>
      <c r="I9" s="346">
        <f>(data!$E$120-data!$E$121)/data!$E$121</f>
        <v>0.7177472167648985</v>
      </c>
      <c r="J9" s="348">
        <f>data!$E$119</f>
        <v>13989.333333333334</v>
      </c>
      <c r="K9" s="343"/>
    </row>
    <row r="10" spans="1:11" ht="21" customHeight="1" thickBot="1" x14ac:dyDescent="0.2">
      <c r="B10" s="326" t="s">
        <v>204</v>
      </c>
      <c r="C10" s="58" t="str">
        <f>Summary_data!AA19</f>
        <v>1,983.87 M</v>
      </c>
      <c r="D10" s="61" t="str">
        <f>CONCATENATE(FIXED(Summary_data!$R$7,1), " M")</f>
        <v>479.8 M</v>
      </c>
      <c r="F10" s="338"/>
      <c r="G10" s="373"/>
      <c r="H10" s="334"/>
      <c r="I10" s="347"/>
      <c r="J10" s="348"/>
      <c r="K10" s="343"/>
    </row>
    <row r="11" spans="1:11" ht="18" customHeight="1" thickBot="1" x14ac:dyDescent="0.2">
      <c r="B11" s="326" t="s">
        <v>206</v>
      </c>
      <c r="C11" s="58" t="str">
        <f>Summary_data!AA20</f>
        <v>19.87 M</v>
      </c>
      <c r="D11" s="61" t="str">
        <f>CONCATENATE(FIXED(Summary_data!$V$7,2), " M")</f>
        <v>0.02 M</v>
      </c>
      <c r="E11" s="5"/>
      <c r="F11" s="337" t="s">
        <v>138</v>
      </c>
      <c r="G11" s="344">
        <f>data!$E$223</f>
        <v>149257</v>
      </c>
      <c r="H11" s="334"/>
      <c r="I11" s="347">
        <f>(data!$E$223-data!$E$224)/data!$E$224</f>
        <v>6.4896797254585803E-2</v>
      </c>
      <c r="J11" s="348">
        <f>data!$E$222</f>
        <v>15880</v>
      </c>
      <c r="K11" s="343"/>
    </row>
    <row r="12" spans="1:11" ht="18" customHeight="1" thickBot="1" x14ac:dyDescent="0.2">
      <c r="B12" s="326" t="s">
        <v>208</v>
      </c>
      <c r="C12" s="58" t="str">
        <f>Summary_data!AA21</f>
        <v>171 TB/day</v>
      </c>
      <c r="D12" s="61" t="str">
        <f>CONCATENATE(FIXED(1024*Summary_data!$T$7,1), " GB/day")</f>
        <v>22,994.7 GB/day</v>
      </c>
      <c r="F12" s="361"/>
      <c r="G12" s="376"/>
      <c r="H12" s="363"/>
      <c r="I12" s="377"/>
      <c r="J12" s="365"/>
      <c r="K12" s="360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F9:F10"/>
    <mergeCell ref="G9:G10"/>
    <mergeCell ref="H9:H10"/>
    <mergeCell ref="I9:I10"/>
    <mergeCell ref="J9:J10"/>
    <mergeCell ref="K9:K10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I5">
    <cfRule type="iconSet" priority="53">
      <iconSet iconSet="3Arrows">
        <cfvo type="percent" val="0"/>
        <cfvo type="num" val="0"/>
        <cfvo type="num" val="0.01"/>
      </iconSet>
    </cfRule>
    <cfRule type="iconSet" priority="56">
      <iconSet showValue="0">
        <cfvo type="percent" val="0"/>
        <cfvo type="num" val="0.9"/>
        <cfvo type="num" val="0.95"/>
      </iconSet>
    </cfRule>
  </conditionalFormatting>
  <conditionalFormatting sqref="I5">
    <cfRule type="iconSet" priority="5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7">
      <iconSet>
        <cfvo type="percent" val="0"/>
        <cfvo type="percent" val="33"/>
        <cfvo type="percent" val="67"/>
      </iconSet>
    </cfRule>
    <cfRule type="iconSet" priority="58">
      <iconSet iconSet="4Arrows">
        <cfvo type="percent" val="0"/>
        <cfvo type="percent" val="25"/>
        <cfvo type="percent" val="50"/>
        <cfvo type="percentile" val="75"/>
      </iconSet>
    </cfRule>
    <cfRule type="iconSet" priority="5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60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54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5 K7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{E83BDF05-1A3B-E743-BA92-B88CD64CDC05}</x14:id>
        </ext>
      </extLst>
    </cfRule>
  </conditionalFormatting>
  <conditionalFormatting sqref="K9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{76D24F7C-FD11-A54D-BD9A-FF25CD3D7287}</x14:id>
        </ext>
      </extLst>
    </cfRule>
  </conditionalFormatting>
  <conditionalFormatting sqref="I9">
    <cfRule type="iconSet" priority="18">
      <iconSet iconSet="3Arrows">
        <cfvo type="percent" val="0"/>
        <cfvo type="num" val="0"/>
        <cfvo type="num" val="0.01"/>
      </iconSet>
    </cfRule>
    <cfRule type="iconSet" priority="21">
      <iconSet showValue="0">
        <cfvo type="percent" val="0"/>
        <cfvo type="num" val="0.9"/>
        <cfvo type="num" val="0.95"/>
      </iconSet>
    </cfRule>
  </conditionalFormatting>
  <conditionalFormatting sqref="I9">
    <cfRule type="iconSet" priority="2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2">
      <iconSet>
        <cfvo type="percent" val="0"/>
        <cfvo type="percent" val="33"/>
        <cfvo type="percent" val="67"/>
      </iconSet>
    </cfRule>
    <cfRule type="iconSet" priority="23">
      <iconSet iconSet="4Arrows">
        <cfvo type="percent" val="0"/>
        <cfvo type="percent" val="25"/>
        <cfvo type="percent" val="50"/>
        <cfvo type="percentile" val="75"/>
      </iconSet>
    </cfRule>
    <cfRule type="iconSet" priority="2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7">
    <cfRule type="iconSet" priority="10">
      <iconSet iconSet="3Arrows">
        <cfvo type="percent" val="0"/>
        <cfvo type="num" val="0"/>
        <cfvo type="num" val="0.01"/>
      </iconSet>
    </cfRule>
    <cfRule type="iconSet" priority="13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>
        <cfvo type="percent" val="0"/>
        <cfvo type="percent" val="33"/>
        <cfvo type="percent" val="67"/>
      </iconSet>
    </cfRule>
    <cfRule type="iconSet" priority="15">
      <iconSet iconSet="4Arrows">
        <cfvo type="percent" val="0"/>
        <cfvo type="percent" val="25"/>
        <cfvo type="percent" val="50"/>
        <cfvo type="percentile" val="75"/>
      </iconSet>
    </cfRule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{CE84720D-1FD8-FE4F-93B9-6299E3E873A3}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BDF05-1A3B-E743-BA92-B88CD64CDC05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76D24F7C-FD11-A54D-BD9A-FF25CD3D7287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CE84720D-1FD8-FE4F-93B9-6299E3E873A3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600-00001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data!E106:E117</xm:f>
              <xm:sqref>K9</xm:sqref>
            </x14:sparkline>
          </x14:sparklines>
        </x14:sparklineGroup>
        <x14:sparklineGroup manualMax="0" manualMin="0" displayEmptyCellsAs="gap" high="1" xr2:uid="{00000000-0003-0000-0600-00001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data!E3:E14</xm:f>
              <xm:sqref>K5</xm:sqref>
            </x14:sparkline>
          </x14:sparklines>
        </x14:sparklineGroup>
        <x14:sparklineGroup manualMax="0" manualMin="0" displayEmptyCellsAs="gap" high="1" xr2:uid="{00000000-0003-0000-0600-00001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data!E55:E66</xm:f>
              <xm:sqref>K7</xm:sqref>
            </x14:sparkline>
          </x14:sparklines>
        </x14:sparklineGroup>
        <x14:sparklineGroup manualMax="0" manualMin="0" displayEmptyCellsAs="gap" high="1" xr2:uid="{00000000-0003-0000-0600-00001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data!E209:E220</xm:f>
              <xm:sqref>K11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36"/>
  <sheetViews>
    <sheetView zoomScale="90" zoomScaleNormal="90" zoomScalePageLayoutView="90" workbookViewId="0">
      <selection activeCell="D8" sqref="D8"/>
    </sheetView>
  </sheetViews>
  <sheetFormatPr baseColWidth="10" defaultColWidth="11.5" defaultRowHeight="13" x14ac:dyDescent="0.15"/>
  <cols>
    <col min="1" max="1" width="7.1640625" customWidth="1"/>
    <col min="2" max="2" width="64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42" t="str">
        <f>CONCATENATE("GHRC Summary for ", Summary_data!X1)</f>
        <v>GHRC Summary for FY 2021</v>
      </c>
      <c r="C1" s="342"/>
      <c r="D1" s="342"/>
      <c r="E1" s="342"/>
      <c r="F1" s="342"/>
      <c r="G1" s="342"/>
      <c r="H1" s="342"/>
      <c r="I1" s="342"/>
      <c r="J1" s="342"/>
      <c r="K1" s="342"/>
    </row>
    <row r="2" spans="1:11" ht="25" customHeight="1" thickBot="1" x14ac:dyDescent="0.2">
      <c r="B2" s="351" t="str">
        <f>Summary_data!Z2</f>
        <v>FY2021 Metrics (Oct 2020 to Sep 2021)</v>
      </c>
      <c r="C2" s="352"/>
      <c r="D2" s="353"/>
      <c r="F2" s="356" t="str">
        <f>CONCATENATE(data!$F$2, " Distribution and User Trends ", Summary_data!W1)</f>
        <v>GHRC Distribution and User Trends (Oct 2020 to Sep 2021)</v>
      </c>
      <c r="G2" s="357"/>
      <c r="H2" s="357"/>
      <c r="I2" s="358"/>
      <c r="J2" s="358"/>
      <c r="K2" s="359"/>
    </row>
    <row r="3" spans="1:11" ht="18" customHeight="1" thickBot="1" x14ac:dyDescent="0.2">
      <c r="B3" s="40" t="s">
        <v>64</v>
      </c>
      <c r="C3" s="40" t="s">
        <v>63</v>
      </c>
      <c r="D3" s="40" t="str">
        <f>Summary_data!$C$8</f>
        <v>GHRC</v>
      </c>
      <c r="F3" s="332" t="s">
        <v>64</v>
      </c>
      <c r="G3" s="41" t="s">
        <v>11</v>
      </c>
      <c r="H3" s="42"/>
      <c r="I3" s="43" t="s">
        <v>25</v>
      </c>
      <c r="J3" s="43" t="s">
        <v>32</v>
      </c>
      <c r="K3" s="44" t="s">
        <v>26</v>
      </c>
    </row>
    <row r="4" spans="1:11" ht="18" customHeight="1" thickBot="1" x14ac:dyDescent="0.2">
      <c r="B4" s="324" t="s">
        <v>150</v>
      </c>
      <c r="C4" s="58">
        <f>Summary_data!AA13</f>
        <v>14300</v>
      </c>
      <c r="D4" s="60">
        <f>Summary_data!$D$8</f>
        <v>588</v>
      </c>
      <c r="F4" s="333"/>
      <c r="G4" s="45" t="str">
        <f>Summary_data!AE2</f>
        <v>FY2021</v>
      </c>
      <c r="H4" s="46"/>
      <c r="I4" s="47" t="str">
        <f>Summary_data!AF2</f>
        <v>FY2020</v>
      </c>
      <c r="J4" s="46" t="s">
        <v>27</v>
      </c>
      <c r="K4" s="48" t="s">
        <v>28</v>
      </c>
    </row>
    <row r="5" spans="1:11" ht="22" customHeight="1" thickBot="1" x14ac:dyDescent="0.2">
      <c r="B5" s="326" t="s">
        <v>195</v>
      </c>
      <c r="C5" s="58" t="str">
        <f>Summary_data!AA14</f>
        <v>4.73 M</v>
      </c>
      <c r="D5" s="61">
        <f>Summary_data!I$8</f>
        <v>49658</v>
      </c>
      <c r="F5" s="339" t="s">
        <v>68</v>
      </c>
      <c r="G5" s="374">
        <f>data!$F$15</f>
        <v>13.966144</v>
      </c>
      <c r="H5" s="354"/>
      <c r="I5" s="346">
        <f>(data!$F$15-data!$F$17)/data!$F$17</f>
        <v>0.67473515510566495</v>
      </c>
      <c r="J5" s="355">
        <f>data!$F$16</f>
        <v>1.1638453333333334</v>
      </c>
      <c r="K5" s="349"/>
    </row>
    <row r="6" spans="1:11" ht="18" customHeight="1" thickBot="1" x14ac:dyDescent="0.2">
      <c r="B6" s="326" t="s">
        <v>197</v>
      </c>
      <c r="C6" s="58" t="str">
        <f>Summary_data!AA15</f>
        <v>4.4 M</v>
      </c>
      <c r="D6" s="61">
        <f>Summary_data!K$8</f>
        <v>16453</v>
      </c>
      <c r="F6" s="338"/>
      <c r="G6" s="375"/>
      <c r="H6" s="334"/>
      <c r="I6" s="347"/>
      <c r="J6" s="350"/>
      <c r="K6" s="343"/>
    </row>
    <row r="7" spans="1:11" ht="18" customHeight="1" thickBot="1" x14ac:dyDescent="0.2">
      <c r="B7" s="326" t="s">
        <v>0</v>
      </c>
      <c r="C7" s="63" t="str">
        <f>Summary_data!AA16</f>
        <v>53.9 TB/day</v>
      </c>
      <c r="D7" s="59" t="str">
        <f>CONCATENATE(FIXED(1024*Summary_data!$N$8,1), " GB/day")</f>
        <v>68.8 GB/day</v>
      </c>
      <c r="F7" s="337" t="s">
        <v>62</v>
      </c>
      <c r="G7" s="371">
        <f>data!$F$67</f>
        <v>15.458082516180147</v>
      </c>
      <c r="H7" s="334"/>
      <c r="I7" s="347">
        <f>(data!$F$67-data!$F$69)/data!$F$69</f>
        <v>-2.0034530687728057E-2</v>
      </c>
      <c r="J7" s="350">
        <f>data!$F$68</f>
        <v>1.2881735430150123</v>
      </c>
      <c r="K7" s="343"/>
    </row>
    <row r="8" spans="1:11" ht="18" customHeight="1" thickBot="1" x14ac:dyDescent="0.2">
      <c r="B8" s="326" t="s">
        <v>200</v>
      </c>
      <c r="C8" s="63" t="str">
        <f>Summary_data!AA17</f>
        <v>59.24 PB</v>
      </c>
      <c r="D8" s="62" t="str">
        <f>CONCATENATE(FIXED(Summary_data!$O$8,3), " TB")</f>
        <v>67.961 TB</v>
      </c>
      <c r="F8" s="338"/>
      <c r="G8" s="372"/>
      <c r="H8" s="334"/>
      <c r="I8" s="347"/>
      <c r="J8" s="350"/>
      <c r="K8" s="343"/>
    </row>
    <row r="9" spans="1:11" ht="18" customHeight="1" thickBot="1" x14ac:dyDescent="0.2">
      <c r="B9" s="326" t="s">
        <v>202</v>
      </c>
      <c r="C9" s="58" t="str">
        <f>Summary_data!AA18</f>
        <v>15.77 PB</v>
      </c>
      <c r="D9" s="62" t="str">
        <f>CONCATENATE(FIXED(Summary_data!U$8,3), " TB")</f>
        <v>13.841 TB</v>
      </c>
      <c r="F9" s="337" t="s">
        <v>58</v>
      </c>
      <c r="G9" s="344">
        <f>data!$F$120</f>
        <v>47981</v>
      </c>
      <c r="H9" s="334"/>
      <c r="I9" s="347">
        <f>(data!$F$120-data!$F$121)/data!$F$121</f>
        <v>1.2573982592331217</v>
      </c>
      <c r="J9" s="348">
        <f>data!$F$119</f>
        <v>3998.4166666666665</v>
      </c>
      <c r="K9" s="343"/>
    </row>
    <row r="10" spans="1:11" ht="18" customHeight="1" thickBot="1" x14ac:dyDescent="0.2">
      <c r="B10" s="326" t="s">
        <v>204</v>
      </c>
      <c r="C10" s="58" t="str">
        <f>Summary_data!AA19</f>
        <v>1,983.87 M</v>
      </c>
      <c r="D10" s="61" t="str">
        <f>CONCATENATE(FIXED(Summary_data!$R$8,1), " M")</f>
        <v>14.0 M</v>
      </c>
      <c r="F10" s="338"/>
      <c r="G10" s="373"/>
      <c r="H10" s="334"/>
      <c r="I10" s="347"/>
      <c r="J10" s="348"/>
      <c r="K10" s="343"/>
    </row>
    <row r="11" spans="1:11" ht="18" customHeight="1" thickBot="1" x14ac:dyDescent="0.2">
      <c r="B11" s="326" t="s">
        <v>206</v>
      </c>
      <c r="C11" s="58" t="str">
        <f>Summary_data!AA20</f>
        <v>19.87 M</v>
      </c>
      <c r="D11" s="61" t="str">
        <f>CONCATENATE(FIXED(Summary_data!$V$8,1), " M")</f>
        <v>0.1 M</v>
      </c>
      <c r="E11" s="5"/>
      <c r="F11" s="337" t="s">
        <v>138</v>
      </c>
      <c r="G11" s="344">
        <f>data!$F$223</f>
        <v>15085</v>
      </c>
      <c r="H11" s="334"/>
      <c r="I11" s="347">
        <f>(data!$F$223-data!$F$224)/data!$F$224</f>
        <v>5.1732552464616888E-2</v>
      </c>
      <c r="J11" s="348">
        <f>data!$F$222</f>
        <v>1382.3333333333333</v>
      </c>
      <c r="K11" s="343"/>
    </row>
    <row r="12" spans="1:11" ht="18" customHeight="1" thickBot="1" x14ac:dyDescent="0.2">
      <c r="B12" s="326" t="s">
        <v>208</v>
      </c>
      <c r="C12" s="58" t="str">
        <f>Summary_data!AA21</f>
        <v>171 TB/day</v>
      </c>
      <c r="D12" s="61" t="str">
        <f>CONCATENATE(FIXED(1024*Summary_data!$T$8,1), " GB/day")</f>
        <v>43.4 GB/day</v>
      </c>
      <c r="F12" s="361"/>
      <c r="G12" s="376"/>
      <c r="H12" s="363"/>
      <c r="I12" s="377"/>
      <c r="J12" s="365"/>
      <c r="K12" s="360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F9:F10"/>
    <mergeCell ref="G9:G10"/>
    <mergeCell ref="H9:H10"/>
    <mergeCell ref="I9:I10"/>
    <mergeCell ref="J9:J10"/>
    <mergeCell ref="K9:K10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I5">
    <cfRule type="iconSet" priority="45">
      <iconSet iconSet="3Arrows">
        <cfvo type="percent" val="0"/>
        <cfvo type="num" val="0"/>
        <cfvo type="num" val="1E-3"/>
      </iconSet>
    </cfRule>
    <cfRule type="iconSet" priority="48">
      <iconSet showValue="0">
        <cfvo type="percent" val="0"/>
        <cfvo type="num" val="0.9"/>
        <cfvo type="num" val="0.95"/>
      </iconSet>
    </cfRule>
  </conditionalFormatting>
  <conditionalFormatting sqref="I5">
    <cfRule type="iconSet" priority="4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49">
      <iconSet>
        <cfvo type="percent" val="0"/>
        <cfvo type="percent" val="33"/>
        <cfvo type="percent" val="67"/>
      </iconSet>
    </cfRule>
    <cfRule type="iconSet" priority="50">
      <iconSet iconSet="4Arrows">
        <cfvo type="percent" val="0"/>
        <cfvo type="percent" val="25"/>
        <cfvo type="percent" val="50"/>
        <cfvo type="percentile" val="75"/>
      </iconSet>
    </cfRule>
    <cfRule type="iconSet" priority="5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2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46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{EE263F00-493D-6640-AE19-10637E4EDB9C}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{B84921B4-26E2-A24A-AD35-9678D73D2224}</x14:id>
        </ext>
      </extLst>
    </cfRule>
  </conditionalFormatting>
  <conditionalFormatting sqref="I7">
    <cfRule type="iconSet" priority="34">
      <iconSet iconSet="3Arrows">
        <cfvo type="percent" val="0"/>
        <cfvo type="num" val="-0.01"/>
        <cfvo type="num" val="0.01"/>
      </iconSet>
    </cfRule>
    <cfRule type="iconSet" priority="37">
      <iconSet showValue="0">
        <cfvo type="percent" val="0"/>
        <cfvo type="num" val="0.9"/>
        <cfvo type="num" val="0.95"/>
      </iconSet>
    </cfRule>
  </conditionalFormatting>
  <conditionalFormatting sqref="I7">
    <cfRule type="iconSet" priority="3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8">
      <iconSet>
        <cfvo type="percent" val="0"/>
        <cfvo type="percent" val="33"/>
        <cfvo type="percent" val="67"/>
      </iconSet>
    </cfRule>
    <cfRule type="iconSet" priority="39">
      <iconSet iconSet="4Arrows">
        <cfvo type="percent" val="0"/>
        <cfvo type="percent" val="25"/>
        <cfvo type="percent" val="50"/>
        <cfvo type="percentile" val="75"/>
      </iconSet>
    </cfRule>
    <cfRule type="iconSet" priority="4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41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35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26">
      <iconSet iconSet="3Arrows">
        <cfvo type="percent" val="0"/>
        <cfvo type="num" val="0"/>
        <cfvo type="num" val="0.1"/>
      </iconSet>
    </cfRule>
    <cfRule type="iconSet" priority="29">
      <iconSet showValue="0">
        <cfvo type="percent" val="0"/>
        <cfvo type="num" val="0.9"/>
        <cfvo type="num" val="0.95"/>
      </iconSet>
    </cfRule>
  </conditionalFormatting>
  <conditionalFormatting sqref="I9">
    <cfRule type="iconSet" priority="28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0">
      <iconSet>
        <cfvo type="percent" val="0"/>
        <cfvo type="percent" val="33"/>
        <cfvo type="percent" val="67"/>
      </iconSet>
    </cfRule>
    <cfRule type="iconSet" priority="31">
      <iconSet iconSet="4Arrows">
        <cfvo type="percent" val="0"/>
        <cfvo type="percent" val="25"/>
        <cfvo type="percent" val="50"/>
        <cfvo type="percentile" val="75"/>
      </iconSet>
    </cfRule>
    <cfRule type="iconSet" priority="3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27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1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{850F3097-89A4-7747-8638-3E958EB20059}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263F00-493D-6640-AE19-10637E4EDB9C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B84921B4-26E2-A24A-AD35-9678D73D2224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850F3097-89A4-7747-8638-3E958EB20059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700-00001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data!F55:F66</xm:f>
              <xm:sqref>K7</xm:sqref>
            </x14:sparkline>
          </x14:sparklines>
        </x14:sparklineGroup>
        <x14:sparklineGroup manualMax="0" manualMin="0" displayEmptyCellsAs="gap" high="1" xr2:uid="{00000000-0003-0000-0700-00001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data!F3:F14</xm:f>
              <xm:sqref>K5</xm:sqref>
            </x14:sparkline>
          </x14:sparklines>
        </x14:sparklineGroup>
        <x14:sparklineGroup manualMax="0" manualMin="0" displayEmptyCellsAs="gap" high="1" xr2:uid="{00000000-0003-0000-0700-00001A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data!F106:F117</xm:f>
              <xm:sqref>K9</xm:sqref>
            </x14:sparkline>
          </x14:sparklines>
        </x14:sparklineGroup>
        <x14:sparklineGroup manualMax="0" manualMin="0" displayEmptyCellsAs="gap" high="1" xr2:uid="{00000000-0003-0000-0700-00001D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data!F209:F220</xm:f>
              <xm:sqref>K11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K39"/>
  <sheetViews>
    <sheetView zoomScale="90" zoomScaleNormal="90" zoomScalePageLayoutView="90" workbookViewId="0">
      <selection activeCell="D12" sqref="D12"/>
    </sheetView>
  </sheetViews>
  <sheetFormatPr baseColWidth="10" defaultColWidth="11.5" defaultRowHeight="13" x14ac:dyDescent="0.15"/>
  <cols>
    <col min="1" max="1" width="7.1640625" customWidth="1"/>
    <col min="2" max="2" width="63.5" customWidth="1"/>
    <col min="3" max="3" width="20.6640625" customWidth="1"/>
    <col min="4" max="4" width="20.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42" t="str">
        <f>CONCATENATE("LPDAAC Summary for ", Summary_data!X1)</f>
        <v>LPDAAC Summary for FY 2021</v>
      </c>
      <c r="C1" s="342"/>
      <c r="D1" s="342"/>
      <c r="E1" s="342"/>
      <c r="F1" s="342"/>
      <c r="G1" s="342"/>
      <c r="H1" s="342"/>
      <c r="I1" s="342"/>
      <c r="J1" s="342"/>
      <c r="K1" s="342"/>
    </row>
    <row r="2" spans="1:11" ht="25" customHeight="1" thickBot="1" x14ac:dyDescent="0.2">
      <c r="B2" s="351" t="str">
        <f>Summary_data!Z2</f>
        <v>FY2021 Metrics (Oct 2020 to Sep 2021)</v>
      </c>
      <c r="C2" s="352"/>
      <c r="D2" s="353"/>
      <c r="F2" s="356" t="str">
        <f>CONCATENATE(data!$G$2, " Distribution and User Trends ", Summary_data!W1)</f>
        <v>LP DAAC Distribution and User Trends (Oct 2020 to Sep 2021)</v>
      </c>
      <c r="G2" s="357"/>
      <c r="H2" s="357"/>
      <c r="I2" s="358"/>
      <c r="J2" s="358"/>
      <c r="K2" s="359"/>
    </row>
    <row r="3" spans="1:11" ht="18" customHeight="1" thickBot="1" x14ac:dyDescent="0.2">
      <c r="B3" s="40" t="s">
        <v>64</v>
      </c>
      <c r="C3" s="40" t="s">
        <v>63</v>
      </c>
      <c r="D3" s="40" t="str">
        <f>Summary_data!$C$9</f>
        <v>LP DAAC</v>
      </c>
      <c r="F3" s="332" t="s">
        <v>64</v>
      </c>
      <c r="G3" s="41" t="s">
        <v>11</v>
      </c>
      <c r="H3" s="42"/>
      <c r="I3" s="43" t="s">
        <v>25</v>
      </c>
      <c r="J3" s="43" t="s">
        <v>32</v>
      </c>
      <c r="K3" s="44" t="s">
        <v>26</v>
      </c>
    </row>
    <row r="4" spans="1:11" ht="18" customHeight="1" thickBot="1" x14ac:dyDescent="0.2">
      <c r="B4" s="324" t="s">
        <v>150</v>
      </c>
      <c r="C4" s="58">
        <f>Summary_data!AA13</f>
        <v>14300</v>
      </c>
      <c r="D4" s="60">
        <f>Summary_data!$D$9</f>
        <v>683</v>
      </c>
      <c r="F4" s="333"/>
      <c r="G4" s="45" t="str">
        <f>Summary_data!AE2</f>
        <v>FY2021</v>
      </c>
      <c r="H4" s="46"/>
      <c r="I4" s="47" t="str">
        <f>Summary_data!AF2</f>
        <v>FY2020</v>
      </c>
      <c r="J4" s="46" t="s">
        <v>27</v>
      </c>
      <c r="K4" s="48" t="s">
        <v>28</v>
      </c>
    </row>
    <row r="5" spans="1:11" ht="23" customHeight="1" thickBot="1" x14ac:dyDescent="0.2">
      <c r="B5" s="326" t="s">
        <v>195</v>
      </c>
      <c r="C5" s="58" t="str">
        <f>Summary_data!AA14</f>
        <v>4.73 M</v>
      </c>
      <c r="D5" s="61">
        <f>Summary_data!I$9</f>
        <v>286717</v>
      </c>
      <c r="F5" s="339" t="s">
        <v>68</v>
      </c>
      <c r="G5" s="374">
        <f>data!$G$15</f>
        <v>252.374606</v>
      </c>
      <c r="H5" s="354"/>
      <c r="I5" s="346">
        <f>(data!$G$15-data!$G$17)/data!$G$17</f>
        <v>7.9443592462660681E-2</v>
      </c>
      <c r="J5" s="355">
        <f>data!$G$16</f>
        <v>21.031217166666668</v>
      </c>
      <c r="K5" s="349"/>
    </row>
    <row r="6" spans="1:11" ht="18" customHeight="1" thickBot="1" x14ac:dyDescent="0.2">
      <c r="B6" s="326" t="s">
        <v>197</v>
      </c>
      <c r="C6" s="58" t="str">
        <f>Summary_data!AA15</f>
        <v>4.4 M</v>
      </c>
      <c r="D6" s="61">
        <f>Summary_data!K$9</f>
        <v>184383</v>
      </c>
      <c r="F6" s="338"/>
      <c r="G6" s="375"/>
      <c r="H6" s="334"/>
      <c r="I6" s="347"/>
      <c r="J6" s="350"/>
      <c r="K6" s="343"/>
    </row>
    <row r="7" spans="1:11" ht="18" customHeight="1" thickBot="1" x14ac:dyDescent="0.2">
      <c r="B7" s="326" t="s">
        <v>0</v>
      </c>
      <c r="C7" s="63" t="str">
        <f>Summary_data!AA16</f>
        <v>53.9 TB/day</v>
      </c>
      <c r="D7" s="59" t="str">
        <f>CONCATENATE(FIXED(1024*Summary_data!$N$9,1), " GB/day")</f>
        <v>7,493.1 GB/day</v>
      </c>
      <c r="F7" s="337" t="s">
        <v>62</v>
      </c>
      <c r="G7" s="371">
        <f>data!$G$67</f>
        <v>5563.5739033607933</v>
      </c>
      <c r="H7" s="334"/>
      <c r="I7" s="346">
        <f>(data!$G$67-data!$G$69)/data!$G$69</f>
        <v>0.29515680741019734</v>
      </c>
      <c r="J7" s="350">
        <f>data!$G$68</f>
        <v>463.63115861339946</v>
      </c>
      <c r="K7" s="343"/>
    </row>
    <row r="8" spans="1:11" ht="18" customHeight="1" thickBot="1" x14ac:dyDescent="0.2">
      <c r="B8" s="326" t="s">
        <v>200</v>
      </c>
      <c r="C8" s="63" t="str">
        <f>Summary_data!AA17</f>
        <v>59.24 PB</v>
      </c>
      <c r="D8" s="62" t="str">
        <f>CONCATENATE(FIXED(Summary_data!$O$9,1), " TB")</f>
        <v>7,258.3 TB</v>
      </c>
      <c r="F8" s="338"/>
      <c r="G8" s="372"/>
      <c r="H8" s="334"/>
      <c r="I8" s="347"/>
      <c r="J8" s="350"/>
      <c r="K8" s="343"/>
    </row>
    <row r="9" spans="1:11" ht="18" customHeight="1" thickBot="1" x14ac:dyDescent="0.2">
      <c r="B9" s="326" t="s">
        <v>202</v>
      </c>
      <c r="C9" s="58" t="str">
        <f>Summary_data!AA18</f>
        <v>15.77 PB</v>
      </c>
      <c r="D9" s="62" t="str">
        <f>CONCATENATE(FIXED(Summary_data!$U$9,1), " TB")</f>
        <v>476.8 TB</v>
      </c>
      <c r="F9" s="337" t="s">
        <v>58</v>
      </c>
      <c r="G9" s="344">
        <f>data!$G$120</f>
        <v>209936</v>
      </c>
      <c r="H9" s="334"/>
      <c r="I9" s="346">
        <f>(data!$G$120-data!$G$121)/data!$G$121</f>
        <v>7.0222929124545655E-2</v>
      </c>
      <c r="J9" s="348">
        <f>data!$G$119</f>
        <v>17494.666666666668</v>
      </c>
      <c r="K9" s="343"/>
    </row>
    <row r="10" spans="1:11" ht="18" customHeight="1" thickBot="1" x14ac:dyDescent="0.2">
      <c r="B10" s="326" t="s">
        <v>204</v>
      </c>
      <c r="C10" s="58" t="str">
        <f>Summary_data!AA19</f>
        <v>1,983.87 M</v>
      </c>
      <c r="D10" s="61" t="str">
        <f>CONCATENATE(FIXED(Summary_data!$R$9,1), " M")</f>
        <v>252.4 M</v>
      </c>
      <c r="F10" s="338"/>
      <c r="G10" s="373"/>
      <c r="H10" s="334"/>
      <c r="I10" s="347"/>
      <c r="J10" s="348"/>
      <c r="K10" s="343"/>
    </row>
    <row r="11" spans="1:11" ht="18" customHeight="1" thickBot="1" x14ac:dyDescent="0.2">
      <c r="B11" s="326" t="s">
        <v>206</v>
      </c>
      <c r="C11" s="58" t="str">
        <f>Summary_data!AA20</f>
        <v>19.87 M</v>
      </c>
      <c r="D11" s="61" t="str">
        <f>CONCATENATE(FIXED(Summary_data!$V$9,1), " M")</f>
        <v>6.4 M</v>
      </c>
      <c r="E11" s="5"/>
      <c r="F11" s="337" t="s">
        <v>138</v>
      </c>
      <c r="G11" s="344">
        <f>data!$G$223</f>
        <v>124215</v>
      </c>
      <c r="H11" s="334"/>
      <c r="I11" s="347">
        <f>(data!$G$223-data!$G$224)/data!$G$224</f>
        <v>1.4472040051289171E-2</v>
      </c>
      <c r="J11" s="348">
        <f>data!$G$222</f>
        <v>10642.666666666666</v>
      </c>
      <c r="K11" s="343"/>
    </row>
    <row r="12" spans="1:11" ht="18" customHeight="1" thickBot="1" x14ac:dyDescent="0.2">
      <c r="B12" s="326" t="s">
        <v>208</v>
      </c>
      <c r="C12" s="58" t="str">
        <f>Summary_data!AA21</f>
        <v>171 TB/day</v>
      </c>
      <c r="D12" s="61" t="str">
        <f>CONCATENATE(FIXED(1024*Summary_data!$T$9,1), " GB/day")</f>
        <v>15,608.5 GB/day</v>
      </c>
      <c r="F12" s="361"/>
      <c r="G12" s="376"/>
      <c r="H12" s="363"/>
      <c r="I12" s="364"/>
      <c r="J12" s="365"/>
      <c r="K12" s="360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F9:F10"/>
    <mergeCell ref="G9:G10"/>
    <mergeCell ref="H9:H10"/>
    <mergeCell ref="I9:I10"/>
    <mergeCell ref="J9:J10"/>
    <mergeCell ref="K9:K10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{AD49E36B-5FA8-9B45-AA7C-6BA9DFC101E2}</x14:id>
        </ext>
      </extLst>
    </cfRule>
  </conditionalFormatting>
  <conditionalFormatting sqref="K9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{C72F0C2A-E2B9-0946-B434-10B16389ADAE}</x14:id>
        </ext>
      </extLst>
    </cfRule>
  </conditionalFormatting>
  <conditionalFormatting sqref="I9">
    <cfRule type="iconSet" priority="26">
      <iconSet iconSet="3Arrows">
        <cfvo type="percent" val="0"/>
        <cfvo type="num" val="0"/>
        <cfvo type="num" val="0.01"/>
      </iconSet>
    </cfRule>
    <cfRule type="iconSet" priority="29">
      <iconSet showValue="0">
        <cfvo type="percent" val="0"/>
        <cfvo type="num" val="0.9"/>
        <cfvo type="num" val="0.95"/>
      </iconSet>
    </cfRule>
  </conditionalFormatting>
  <conditionalFormatting sqref="I9">
    <cfRule type="iconSet" priority="28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0">
      <iconSet>
        <cfvo type="percent" val="0"/>
        <cfvo type="percent" val="33"/>
        <cfvo type="percent" val="67"/>
      </iconSet>
    </cfRule>
    <cfRule type="iconSet" priority="31">
      <iconSet iconSet="4Arrows">
        <cfvo type="percent" val="0"/>
        <cfvo type="percent" val="25"/>
        <cfvo type="percent" val="50"/>
        <cfvo type="percentile" val="75"/>
      </iconSet>
    </cfRule>
    <cfRule type="iconSet" priority="3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27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">
    <cfRule type="iconSet" priority="10">
      <iconSet iconSet="3Arrows">
        <cfvo type="percent" val="0"/>
        <cfvo type="num" val="0"/>
        <cfvo type="num" val="0.01"/>
      </iconSet>
    </cfRule>
    <cfRule type="iconSet" priority="13">
      <iconSet showValue="0">
        <cfvo type="percent" val="0"/>
        <cfvo type="num" val="0.9"/>
        <cfvo type="num" val="0.95"/>
      </iconSet>
    </cfRule>
  </conditionalFormatting>
  <conditionalFormatting sqref="I5 I7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>
        <cfvo type="percent" val="0"/>
        <cfvo type="percent" val="33"/>
        <cfvo type="percent" val="67"/>
      </iconSet>
    </cfRule>
    <cfRule type="iconSet" priority="15">
      <iconSet iconSet="4Arrows">
        <cfvo type="percent" val="0"/>
        <cfvo type="percent" val="25"/>
        <cfvo type="percent" val="50"/>
        <cfvo type="percentile" val="75"/>
      </iconSet>
    </cfRule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I5 I7">
    <cfRule type="iconSet" priority="1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{1C8E2180-9AF5-CF41-9735-E4DD210F5761}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49E36B-5FA8-9B45-AA7C-6BA9DFC101E2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C72F0C2A-E2B9-0946-B434-10B16389ADAE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1C8E2180-9AF5-CF41-9735-E4DD210F5761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800-00002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data!G106:G117</xm:f>
              <xm:sqref>K9</xm:sqref>
            </x14:sparkline>
          </x14:sparklines>
        </x14:sparklineGroup>
        <x14:sparklineGroup manualMax="0" manualMin="0" displayEmptyCellsAs="gap" high="1" xr2:uid="{00000000-0003-0000-0800-00001F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data!G3:G14</xm:f>
              <xm:sqref>K5</xm:sqref>
            </x14:sparkline>
          </x14:sparklines>
        </x14:sparklineGroup>
        <x14:sparklineGroup manualMax="0" manualMin="0" displayEmptyCellsAs="gap" high="1" xr2:uid="{00000000-0003-0000-0800-00001E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data!G55:G66</xm:f>
              <xm:sqref>K7</xm:sqref>
            </x14:sparkline>
          </x14:sparklines>
        </x14:sparklineGroup>
        <x14:sparklineGroup manualMax="0" manualMin="0" displayEmptyCellsAs="gap" high="1" xr2:uid="{00000000-0003-0000-0800-00002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data!G209:G220</xm:f>
              <xm:sqref>K11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K37"/>
  <sheetViews>
    <sheetView zoomScale="90" zoomScaleNormal="90" zoomScalePageLayoutView="90" workbookViewId="0">
      <selection activeCell="D8" sqref="D8"/>
    </sheetView>
  </sheetViews>
  <sheetFormatPr baseColWidth="10" defaultColWidth="11.5" defaultRowHeight="13" x14ac:dyDescent="0.15"/>
  <cols>
    <col min="1" max="1" width="7.1640625" customWidth="1"/>
    <col min="2" max="2" width="62.83203125" customWidth="1"/>
    <col min="3" max="3" width="20.6640625" customWidth="1"/>
    <col min="4" max="4" width="20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42" t="str">
        <f>CONCATENATE("LAADS DAAC Summary for ", Summary_data!X1)</f>
        <v>LAADS DAAC Summary for FY 2021</v>
      </c>
      <c r="C1" s="342"/>
      <c r="D1" s="342"/>
      <c r="E1" s="342"/>
      <c r="F1" s="342"/>
      <c r="G1" s="342"/>
      <c r="H1" s="342"/>
      <c r="I1" s="342"/>
      <c r="J1" s="342"/>
      <c r="K1" s="342"/>
    </row>
    <row r="2" spans="1:11" ht="25" customHeight="1" thickBot="1" x14ac:dyDescent="0.2">
      <c r="B2" s="351" t="str">
        <f>Summary_data!Z2</f>
        <v>FY2021 Metrics (Oct 2020 to Sep 2021)</v>
      </c>
      <c r="C2" s="352"/>
      <c r="D2" s="353"/>
      <c r="F2" s="356" t="str">
        <f>CONCATENATE(data!$H$2, " Distribution and User Trends ", Summary_data!W1)</f>
        <v>LAADS DAAC Distribution and User Trends (Oct 2020 to Sep 2021)</v>
      </c>
      <c r="G2" s="357"/>
      <c r="H2" s="357"/>
      <c r="I2" s="358"/>
      <c r="J2" s="358"/>
      <c r="K2" s="359"/>
    </row>
    <row r="3" spans="1:11" ht="18" customHeight="1" thickBot="1" x14ac:dyDescent="0.2">
      <c r="B3" s="40" t="s">
        <v>64</v>
      </c>
      <c r="C3" s="40" t="s">
        <v>63</v>
      </c>
      <c r="D3" s="40" t="str">
        <f>Summary_data!$C$10</f>
        <v>LAADS DAAC</v>
      </c>
      <c r="F3" s="332" t="s">
        <v>64</v>
      </c>
      <c r="G3" s="41" t="s">
        <v>11</v>
      </c>
      <c r="H3" s="42"/>
      <c r="I3" s="43" t="s">
        <v>25</v>
      </c>
      <c r="J3" s="43" t="s">
        <v>32</v>
      </c>
      <c r="K3" s="44" t="s">
        <v>26</v>
      </c>
    </row>
    <row r="4" spans="1:11" ht="18" customHeight="1" thickBot="1" x14ac:dyDescent="0.2">
      <c r="B4" s="324" t="s">
        <v>150</v>
      </c>
      <c r="C4" s="58">
        <f>Summary_data!AA13</f>
        <v>14300</v>
      </c>
      <c r="D4" s="60">
        <f>Summary_data!$D$10</f>
        <v>2386</v>
      </c>
      <c r="F4" s="333"/>
      <c r="G4" s="45" t="str">
        <f>Summary_data!AE2</f>
        <v>FY2021</v>
      </c>
      <c r="H4" s="46"/>
      <c r="I4" s="47" t="str">
        <f>Summary_data!AF2</f>
        <v>FY2020</v>
      </c>
      <c r="J4" s="46" t="s">
        <v>27</v>
      </c>
      <c r="K4" s="48" t="s">
        <v>28</v>
      </c>
    </row>
    <row r="5" spans="1:11" ht="18" customHeight="1" thickBot="1" x14ac:dyDescent="0.2">
      <c r="B5" s="326" t="s">
        <v>195</v>
      </c>
      <c r="C5" s="58" t="str">
        <f>Summary_data!AA14</f>
        <v>4.73 M</v>
      </c>
      <c r="D5" s="61">
        <f>Summary_data!I$10</f>
        <v>147905</v>
      </c>
      <c r="F5" s="339" t="s">
        <v>68</v>
      </c>
      <c r="G5" s="374">
        <f>data!$H$15</f>
        <v>536.58246099999997</v>
      </c>
      <c r="H5" s="354"/>
      <c r="I5" s="346">
        <f>(data!$H$15-data!$H$17)/data!$H$17</f>
        <v>0.17832972591099785</v>
      </c>
      <c r="J5" s="355">
        <f>data!$H$16</f>
        <v>44.715205083333331</v>
      </c>
      <c r="K5" s="349"/>
    </row>
    <row r="6" spans="1:11" ht="18" customHeight="1" thickBot="1" x14ac:dyDescent="0.2">
      <c r="B6" s="326" t="s">
        <v>197</v>
      </c>
      <c r="C6" s="58" t="str">
        <f>Summary_data!AA15</f>
        <v>4.4 M</v>
      </c>
      <c r="D6" s="61">
        <f>Summary_data!K$10</f>
        <v>233162</v>
      </c>
      <c r="F6" s="338"/>
      <c r="G6" s="375"/>
      <c r="H6" s="334"/>
      <c r="I6" s="347"/>
      <c r="J6" s="350"/>
      <c r="K6" s="343"/>
    </row>
    <row r="7" spans="1:11" ht="18" customHeight="1" thickBot="1" x14ac:dyDescent="0.2">
      <c r="B7" s="326" t="s">
        <v>0</v>
      </c>
      <c r="C7" s="63" t="str">
        <f>Summary_data!AA16</f>
        <v>53.9 TB/day</v>
      </c>
      <c r="D7" s="59" t="str">
        <f>CONCATENATE(FIXED(1024*Summary_data!$N$10,1), " GB/day")</f>
        <v>18,420.6 GB/day</v>
      </c>
      <c r="F7" s="337" t="s">
        <v>62</v>
      </c>
      <c r="G7" s="371">
        <f>data!$H$67</f>
        <v>10949.505956707984</v>
      </c>
      <c r="H7" s="334"/>
      <c r="I7" s="346">
        <f>(data!$H$67-data!$H$69)/data!$H$69</f>
        <v>0.15466994929675754</v>
      </c>
      <c r="J7" s="350">
        <f>data!$H$68</f>
        <v>912.4588297256654</v>
      </c>
      <c r="K7" s="343"/>
    </row>
    <row r="8" spans="1:11" ht="18" customHeight="1" thickBot="1" x14ac:dyDescent="0.2">
      <c r="B8" s="326" t="s">
        <v>200</v>
      </c>
      <c r="C8" s="63" t="str">
        <f>Summary_data!AA17</f>
        <v>59.24 PB</v>
      </c>
      <c r="D8" s="62" t="str">
        <f>CONCATENATE(FIXED(Summary_data!$O$10,1), " TB")</f>
        <v>16,560.6 TB</v>
      </c>
      <c r="F8" s="338"/>
      <c r="G8" s="372"/>
      <c r="H8" s="334"/>
      <c r="I8" s="347"/>
      <c r="J8" s="350"/>
      <c r="K8" s="343"/>
    </row>
    <row r="9" spans="1:11" ht="18" customHeight="1" thickBot="1" x14ac:dyDescent="0.2">
      <c r="B9" s="326" t="s">
        <v>202</v>
      </c>
      <c r="C9" s="58" t="str">
        <f>Summary_data!AA18</f>
        <v>15.77 PB</v>
      </c>
      <c r="D9" s="61"/>
      <c r="F9" s="337" t="s">
        <v>58</v>
      </c>
      <c r="G9" s="344">
        <f>data!$H$120</f>
        <v>225551</v>
      </c>
      <c r="H9" s="334"/>
      <c r="I9" s="346">
        <f>(data!$H$120-data!$H$121)/data!$H$121</f>
        <v>0.48910983910686817</v>
      </c>
      <c r="J9" s="348">
        <f>data!$H$119</f>
        <v>18795.916666666668</v>
      </c>
      <c r="K9" s="343"/>
    </row>
    <row r="10" spans="1:11" ht="18" customHeight="1" thickBot="1" x14ac:dyDescent="0.2">
      <c r="B10" s="326" t="s">
        <v>204</v>
      </c>
      <c r="C10" s="58" t="str">
        <f>Summary_data!AA19</f>
        <v>1,983.87 M</v>
      </c>
      <c r="D10" s="61" t="str">
        <f>CONCATENATE(FIXED(Summary_data!$R$10,1), " M")</f>
        <v>536.6 M</v>
      </c>
      <c r="F10" s="338"/>
      <c r="G10" s="373"/>
      <c r="H10" s="334"/>
      <c r="I10" s="347"/>
      <c r="J10" s="348"/>
      <c r="K10" s="343"/>
    </row>
    <row r="11" spans="1:11" ht="18" customHeight="1" thickBot="1" x14ac:dyDescent="0.2">
      <c r="B11" s="326" t="s">
        <v>206</v>
      </c>
      <c r="C11" s="58" t="str">
        <f>Summary_data!AA20</f>
        <v>19.87 M</v>
      </c>
      <c r="D11" s="63"/>
      <c r="E11" s="5"/>
      <c r="F11" s="337" t="s">
        <v>138</v>
      </c>
      <c r="G11" s="344">
        <f>data!$H$223</f>
        <v>98112</v>
      </c>
      <c r="H11" s="334"/>
      <c r="I11" s="347">
        <f>(data!$H$223-data!$H$224)/data!$H$224</f>
        <v>0.1919380899736372</v>
      </c>
      <c r="J11" s="348">
        <f>data!$H$222</f>
        <v>12578.333333333334</v>
      </c>
      <c r="K11" s="343"/>
    </row>
    <row r="12" spans="1:11" ht="18" customHeight="1" thickBot="1" x14ac:dyDescent="0.2">
      <c r="B12" s="326" t="s">
        <v>208</v>
      </c>
      <c r="C12" s="58" t="str">
        <f>Summary_data!AA21</f>
        <v>171 TB/day</v>
      </c>
      <c r="D12" s="63" t="str">
        <f>CONCATENATE(FIXED(1024*Summary_data!$T$10,1), " GB/day")</f>
        <v>30,718.6 GB/day</v>
      </c>
      <c r="F12" s="361"/>
      <c r="G12" s="376"/>
      <c r="H12" s="363"/>
      <c r="I12" s="364"/>
      <c r="J12" s="365"/>
      <c r="K12" s="360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F9:F10"/>
    <mergeCell ref="G9:G10"/>
    <mergeCell ref="H9:H10"/>
    <mergeCell ref="I9:I10"/>
    <mergeCell ref="J9:J10"/>
    <mergeCell ref="K9:K10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{82D7EF43-8305-2542-8C61-4DDEA694CDA9}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{01189959-6941-6C4F-A5D5-9EEC92D14BFD}</x14:id>
        </ext>
      </extLs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{00873C36-B65A-7149-AB00-93293EAD496B}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226">
      <iconSet iconSet="3Arrows">
        <cfvo type="percent" val="0"/>
        <cfvo type="num" val="0"/>
        <cfvo type="num" val="0.01"/>
      </iconSet>
    </cfRule>
    <cfRule type="iconSet" priority="227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23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33">
      <iconSet>
        <cfvo type="percent" val="0"/>
        <cfvo type="percent" val="33"/>
        <cfvo type="percent" val="67"/>
      </iconSet>
    </cfRule>
    <cfRule type="iconSet" priority="234">
      <iconSet iconSet="4Arrows">
        <cfvo type="percent" val="0"/>
        <cfvo type="percent" val="25"/>
        <cfvo type="percent" val="50"/>
        <cfvo type="percentile" val="75"/>
      </iconSet>
    </cfRule>
    <cfRule type="iconSet" priority="23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36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247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D7EF43-8305-2542-8C61-4DDEA694CDA9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01189959-6941-6C4F-A5D5-9EEC92D14BFD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00873C36-B65A-7149-AB00-93293EAD496B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500-00001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data!H55:H66</xm:f>
              <xm:sqref>K7</xm:sqref>
            </x14:sparkline>
          </x14:sparklines>
        </x14:sparklineGroup>
        <x14:sparklineGroup manualMax="0" manualMin="0" displayEmptyCellsAs="gap" high="1" xr2:uid="{00000000-0003-0000-0500-00001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data!H3:H14</xm:f>
              <xm:sqref>K5</xm:sqref>
            </x14:sparkline>
          </x14:sparklines>
        </x14:sparklineGroup>
        <x14:sparklineGroup manualMax="0" manualMin="0" displayEmptyCellsAs="gap" high="1" xr2:uid="{00000000-0003-0000-0500-00001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data!H106:H117</xm:f>
              <xm:sqref>K9</xm:sqref>
            </x14:sparkline>
          </x14:sparklines>
        </x14:sparklineGroup>
        <x14:sparklineGroup manualMax="0" manualMin="0" displayEmptyCellsAs="gap" high="1" xr2:uid="{00000000-0003-0000-0500-00001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data!H209:H220</xm:f>
              <xm:sqref>K11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Cover</vt:lpstr>
      <vt:lpstr>Introduction</vt:lpstr>
      <vt:lpstr>ASDC</vt:lpstr>
      <vt:lpstr>ASF</vt:lpstr>
      <vt:lpstr>CDDIS</vt:lpstr>
      <vt:lpstr>GESDISC</vt:lpstr>
      <vt:lpstr>GHRC</vt:lpstr>
      <vt:lpstr>LPDAAC</vt:lpstr>
      <vt:lpstr>LAADS</vt:lpstr>
      <vt:lpstr>NSIDC</vt:lpstr>
      <vt:lpstr>ORNL</vt:lpstr>
      <vt:lpstr>OBDAAC</vt:lpstr>
      <vt:lpstr>PODAAC</vt:lpstr>
      <vt:lpstr>SEDAC</vt:lpstr>
      <vt:lpstr>LANCE</vt:lpstr>
      <vt:lpstr>data</vt:lpstr>
      <vt:lpstr>L_Summary_data</vt:lpstr>
      <vt:lpstr>L_data</vt:lpstr>
      <vt:lpstr>Summary_data</vt:lpstr>
      <vt:lpstr>ASDC!Print_Area</vt:lpstr>
      <vt:lpstr>ASF!Print_Area</vt:lpstr>
      <vt:lpstr>CDDIS!Print_Area</vt:lpstr>
      <vt:lpstr>GESDISC!Print_Area</vt:lpstr>
      <vt:lpstr>GHRC!Print_Area</vt:lpstr>
      <vt:lpstr>LAADS!Print_Area</vt:lpstr>
      <vt:lpstr>LANCE!Print_Area</vt:lpstr>
      <vt:lpstr>LPDAAC!Print_Area</vt:lpstr>
      <vt:lpstr>NSIDC!Print_Area</vt:lpstr>
      <vt:lpstr>OBDAAC!Print_Area</vt:lpstr>
      <vt:lpstr>ORNL!Print_Area</vt:lpstr>
      <vt:lpstr>PODAAC!Print_Area</vt:lpstr>
      <vt:lpstr>SEDAC!Print_Area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youngin.won@nasa.gov</dc:creator>
  <cp:lastModifiedBy>Lalit Wanchoo</cp:lastModifiedBy>
  <cp:lastPrinted>2015-12-15T15:48:34Z</cp:lastPrinted>
  <dcterms:created xsi:type="dcterms:W3CDTF">2015-11-25T18:34:53Z</dcterms:created>
  <dcterms:modified xsi:type="dcterms:W3CDTF">2022-01-04T14:55:35Z</dcterms:modified>
</cp:coreProperties>
</file>